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7900" windowHeight="6390" firstSheet="1" activeTab="1"/>
  </bookViews>
  <sheets>
    <sheet name="データ入力" sheetId="169" state="hidden" r:id="rId1"/>
    <sheet name="①はじめに" sheetId="168" r:id="rId2"/>
    <sheet name="②処理フロー（イメージ）" sheetId="33" r:id="rId3"/>
    <sheet name="③基本情報入力【例】" sheetId="156" r:id="rId4"/>
    <sheet name="④算定結果【例】" sheetId="157" r:id="rId5"/>
    <sheet name="⑤基本情報入力" sheetId="128" r:id="rId6"/>
    <sheet name="⑥算定結果" sheetId="129" r:id="rId7"/>
    <sheet name="⑦入力参考値" sheetId="130" r:id="rId8"/>
    <sheet name="⑧計算シート→" sheetId="131" r:id="rId9"/>
    <sheet name="物質収支（既存）" sheetId="132" r:id="rId10"/>
    <sheet name="計算条件（既存）" sheetId="133" r:id="rId11"/>
    <sheet name="施設規模の設定（既存）" sheetId="134" r:id="rId12"/>
    <sheet name="事業費（既存）" sheetId="135" r:id="rId13"/>
    <sheet name="物質収支（いしかわモデル）" sheetId="137" r:id="rId14"/>
    <sheet name="施設規模の設定（いしかわモデル）" sheetId="138" r:id="rId15"/>
    <sheet name="計算条件（いしかわモデル）" sheetId="139" r:id="rId16"/>
    <sheet name="事業費（いしかわモデル）" sheetId="140" r:id="rId17"/>
    <sheet name="物質収支（既存）【例】" sheetId="159" state="hidden" r:id="rId18"/>
    <sheet name="施設規模の設定（既存）【例】" sheetId="161" state="hidden" r:id="rId19"/>
    <sheet name="計算条件（既存）【例】" sheetId="160" state="hidden" r:id="rId20"/>
    <sheet name="事業費（既存）【例】" sheetId="162" state="hidden" r:id="rId21"/>
    <sheet name="物質収支（いしかわモデル） 【例】" sheetId="164" state="hidden" r:id="rId22"/>
    <sheet name="施設規模の設定（いしかわモデル）【例】" sheetId="165" state="hidden" r:id="rId23"/>
    <sheet name="計算条件（いしかわモデル）【例】" sheetId="166" state="hidden" r:id="rId24"/>
    <sheet name="事業費（いしかわモデル）【例】" sheetId="167" state="hidden" r:id="rId25"/>
  </sheets>
  <externalReferences>
    <externalReference r:id="rId26"/>
  </externalReferences>
  <definedNames>
    <definedName name="_xlnm.Print_Area" localSheetId="2">'②処理フロー（イメージ）'!$B$1:$R$54</definedName>
    <definedName name="_xlnm.Print_Area" localSheetId="3">③基本情報入力【例】!$B$2:$BK$63</definedName>
    <definedName name="_xlnm.Print_Area" localSheetId="4">④算定結果【例】!$B$4:$AL$61</definedName>
    <definedName name="_xlnm.Print_Area" localSheetId="5">⑤基本情報入力!$A$3:$BK$63</definedName>
    <definedName name="_xlnm.Print_Area" localSheetId="6">⑥算定結果!$B$4:$AL$65</definedName>
    <definedName name="_xlnm.Print_Area" localSheetId="7">⑦入力参考値!$B$3:$AP$55</definedName>
    <definedName name="_xlnm.Print_Area" localSheetId="8">⑧計算シート→!$B$15:$H$23</definedName>
    <definedName name="_xlnm.Print_Area" localSheetId="0">データ入力!$R$4:$CF$62,データ入力!$R$65:$CF$121</definedName>
    <definedName name="_xlnm.Print_Area" localSheetId="15">'計算条件（いしかわモデル）'!$B$2:$I$90</definedName>
    <definedName name="_xlnm.Print_Area" localSheetId="23">'計算条件（いしかわモデル）【例】'!$B$2:$I$90</definedName>
    <definedName name="_xlnm.Print_Area" localSheetId="10">'計算条件（既存）'!$B$2:$I$90</definedName>
    <definedName name="_xlnm.Print_Area" localSheetId="19">'計算条件（既存）【例】'!$B$2:$I$90</definedName>
    <definedName name="_xlnm.Print_Area" localSheetId="14">'施設規模の設定（いしかわモデル）'!$B$2:$H$22</definedName>
    <definedName name="_xlnm.Print_Area" localSheetId="22">'施設規模の設定（いしかわモデル）【例】'!$B$2:$H$23</definedName>
    <definedName name="_xlnm.Print_Area" localSheetId="11">'施設規模の設定（既存）'!$B$2:$H$22</definedName>
    <definedName name="_xlnm.Print_Area" localSheetId="18">'施設規模の設定（既存）【例】'!$B$2:$H$24</definedName>
    <definedName name="_xlnm.Print_Area" localSheetId="24">'事業費（いしかわモデル）【例】'!$B$2:$R$204</definedName>
    <definedName name="_xlnm.Print_Area" localSheetId="20">'事業費（既存）【例】'!$B$2:$R$264</definedName>
    <definedName name="_xlnm.Print_Area" localSheetId="13">'物質収支（いしかわモデル）'!$B$2:$Y$51,'物質収支（いしかわモデル）'!$B$53:$Y$102</definedName>
    <definedName name="_xlnm.Print_Area" localSheetId="21">'物質収支（いしかわモデル） 【例】'!$B$2:$Y$102</definedName>
    <definedName name="_xlnm.Print_Area" localSheetId="9">'物質収支（既存）'!$B$2:$Y$51,'物質収支（既存）'!$B$53:$Y$102</definedName>
    <definedName name="_xlnm.Print_Area" localSheetId="17">'物質収支（既存）【例】'!$B$2:$Y$102</definedName>
  </definedNames>
  <calcPr calcId="145621"/>
</workbook>
</file>

<file path=xl/calcChain.xml><?xml version="1.0" encoding="utf-8"?>
<calcChain xmlns="http://schemas.openxmlformats.org/spreadsheetml/2006/main">
  <c r="M22" i="140" l="1"/>
  <c r="K55" i="140" l="1"/>
  <c r="K57" i="140"/>
  <c r="I55" i="140"/>
  <c r="K59" i="140" l="1"/>
  <c r="I59" i="140" s="1"/>
  <c r="E18" i="167"/>
  <c r="E55" i="140"/>
  <c r="M31" i="140"/>
  <c r="I57" i="140" l="1"/>
  <c r="E21" i="140" l="1"/>
  <c r="M21" i="140"/>
  <c r="K22" i="140"/>
  <c r="K21" i="140" l="1"/>
  <c r="T15" i="129"/>
  <c r="T14" i="129"/>
  <c r="T13" i="129"/>
  <c r="T12" i="129"/>
  <c r="T11" i="129"/>
  <c r="T10" i="129"/>
  <c r="O15" i="129"/>
  <c r="O8" i="129"/>
  <c r="O10" i="157"/>
  <c r="O15" i="157"/>
  <c r="O8" i="157"/>
  <c r="Y15" i="157" l="1"/>
  <c r="Y8" i="157"/>
  <c r="Y8" i="129"/>
  <c r="Y15" i="129"/>
  <c r="M22" i="167" l="1"/>
  <c r="K22" i="167" s="1"/>
  <c r="BV119" i="169"/>
  <c r="BR119" i="169"/>
  <c r="BN119" i="169"/>
  <c r="BJ119" i="169"/>
  <c r="BF119" i="169"/>
  <c r="AR119" i="169"/>
  <c r="AN119" i="169"/>
  <c r="AJ119" i="169"/>
  <c r="AF119" i="169"/>
  <c r="AB119" i="169"/>
  <c r="BV117" i="169"/>
  <c r="BR117" i="169"/>
  <c r="BN117" i="169"/>
  <c r="BJ117" i="169"/>
  <c r="BF117" i="169"/>
  <c r="AR117" i="169"/>
  <c r="AN117" i="169"/>
  <c r="AJ117" i="169"/>
  <c r="AF117" i="169"/>
  <c r="AB117" i="169"/>
  <c r="BV115" i="169"/>
  <c r="BR115" i="169"/>
  <c r="BN115" i="169"/>
  <c r="BJ115" i="169"/>
  <c r="BF115" i="169"/>
  <c r="AR115" i="169"/>
  <c r="AN115" i="169"/>
  <c r="AJ115" i="169"/>
  <c r="AF115" i="169"/>
  <c r="AB115" i="169"/>
  <c r="BV113" i="169"/>
  <c r="BR113" i="169"/>
  <c r="BN113" i="169"/>
  <c r="BJ113" i="169"/>
  <c r="BF113" i="169"/>
  <c r="AR113" i="169"/>
  <c r="AN113" i="169"/>
  <c r="AJ113" i="169"/>
  <c r="AF113" i="169"/>
  <c r="AB113" i="169"/>
  <c r="BV111" i="169"/>
  <c r="BR111" i="169"/>
  <c r="BN111" i="169"/>
  <c r="BJ111" i="169"/>
  <c r="BF111" i="169"/>
  <c r="AR111" i="169"/>
  <c r="AN111" i="169"/>
  <c r="AJ111" i="169"/>
  <c r="AF111" i="169"/>
  <c r="AB111" i="169"/>
  <c r="BV109" i="169"/>
  <c r="BR109" i="169"/>
  <c r="BN109" i="169"/>
  <c r="BJ109" i="169"/>
  <c r="BF109" i="169"/>
  <c r="AR109" i="169"/>
  <c r="AN109" i="169"/>
  <c r="AJ109" i="169"/>
  <c r="AF109" i="169"/>
  <c r="AB109" i="169"/>
  <c r="BV105" i="169"/>
  <c r="BR105" i="169"/>
  <c r="BN105" i="169"/>
  <c r="BJ105" i="169"/>
  <c r="BF105" i="169"/>
  <c r="AR105" i="169"/>
  <c r="AN105" i="169"/>
  <c r="AJ105" i="169"/>
  <c r="AF105" i="169"/>
  <c r="AB105" i="169"/>
  <c r="BV103" i="169"/>
  <c r="BR103" i="169"/>
  <c r="BN103" i="169"/>
  <c r="BJ103" i="169"/>
  <c r="BF103" i="169"/>
  <c r="AR103" i="169"/>
  <c r="AN103" i="169"/>
  <c r="AJ103" i="169"/>
  <c r="AF103" i="169"/>
  <c r="AB103" i="169"/>
  <c r="AU68" i="169"/>
  <c r="AR68" i="169"/>
  <c r="V68" i="169"/>
  <c r="AZ29" i="169"/>
  <c r="AU29" i="169"/>
  <c r="AP29" i="169"/>
  <c r="AK29" i="169"/>
  <c r="AF29" i="169"/>
  <c r="AA29" i="169"/>
  <c r="V29" i="169"/>
  <c r="AZ28" i="169"/>
  <c r="AU28" i="169"/>
  <c r="AP28" i="169"/>
  <c r="AK28" i="169"/>
  <c r="AF28" i="169"/>
  <c r="AA28" i="169"/>
  <c r="V28" i="169"/>
  <c r="I59" i="137" l="1"/>
  <c r="I18" i="137"/>
  <c r="I17" i="137"/>
  <c r="I16" i="137"/>
  <c r="I15" i="137"/>
  <c r="I14" i="137"/>
  <c r="I8" i="137"/>
  <c r="I6" i="137"/>
  <c r="I11" i="164"/>
  <c r="D4" i="166"/>
  <c r="I59" i="164"/>
  <c r="I18" i="164"/>
  <c r="I17" i="164"/>
  <c r="I30" i="164" s="1"/>
  <c r="I32" i="164" s="1"/>
  <c r="I42" i="164" s="1"/>
  <c r="I44" i="164" s="1"/>
  <c r="I16" i="164"/>
  <c r="I15" i="164"/>
  <c r="I8" i="164"/>
  <c r="I6" i="164"/>
  <c r="O4" i="132"/>
  <c r="O4" i="159"/>
  <c r="O4" i="137"/>
  <c r="O4" i="164"/>
  <c r="M196" i="140" l="1"/>
  <c r="C196" i="140"/>
  <c r="M191" i="167"/>
  <c r="E49" i="167"/>
  <c r="E21" i="167"/>
  <c r="E49" i="140"/>
  <c r="O17" i="137"/>
  <c r="N17" i="137"/>
  <c r="M17" i="137"/>
  <c r="L17" i="137"/>
  <c r="K17" i="137"/>
  <c r="J17" i="137"/>
  <c r="O17" i="164"/>
  <c r="N17" i="164"/>
  <c r="M17" i="164"/>
  <c r="L17" i="164"/>
  <c r="K17" i="164"/>
  <c r="J17" i="164"/>
  <c r="E31" i="140"/>
  <c r="K31" i="140" s="1"/>
  <c r="M190" i="140" l="1"/>
  <c r="M186" i="167"/>
  <c r="M197" i="167"/>
  <c r="I54" i="167" l="1"/>
  <c r="E55" i="167"/>
  <c r="Q16" i="167"/>
  <c r="P16" i="167"/>
  <c r="O16" i="167"/>
  <c r="Q33" i="167"/>
  <c r="P33" i="167"/>
  <c r="O33" i="167"/>
  <c r="Q32" i="167"/>
  <c r="P32" i="167"/>
  <c r="O32" i="167"/>
  <c r="Q31" i="167"/>
  <c r="P31" i="167"/>
  <c r="O31" i="167"/>
  <c r="E31" i="167"/>
  <c r="E20" i="140"/>
  <c r="E19" i="140"/>
  <c r="E18" i="140"/>
  <c r="E48" i="140" s="1"/>
  <c r="P89" i="128"/>
  <c r="L89" i="128"/>
  <c r="H89" i="128"/>
  <c r="E20" i="167"/>
  <c r="E19" i="167"/>
  <c r="E48" i="167"/>
  <c r="I56" i="167" l="1"/>
  <c r="E5" i="140"/>
  <c r="Q33" i="140"/>
  <c r="Q32" i="140"/>
  <c r="Q31" i="140"/>
  <c r="Q25" i="140" l="1"/>
  <c r="P33" i="140"/>
  <c r="P32" i="140"/>
  <c r="P31" i="140"/>
  <c r="O33" i="140"/>
  <c r="O32" i="140"/>
  <c r="O31" i="140"/>
  <c r="I56" i="140" l="1"/>
  <c r="I54" i="140"/>
  <c r="Q16" i="140"/>
  <c r="P16" i="140"/>
  <c r="O16" i="140"/>
  <c r="Q21" i="140" l="1"/>
  <c r="Q21" i="167"/>
  <c r="E90" i="162" l="1"/>
  <c r="E91" i="162"/>
  <c r="E30" i="162"/>
  <c r="E254" i="167" l="1"/>
  <c r="Q251" i="167"/>
  <c r="P251" i="167"/>
  <c r="O251" i="167"/>
  <c r="Q250" i="167"/>
  <c r="P250" i="167"/>
  <c r="O250" i="167"/>
  <c r="E250" i="167"/>
  <c r="E246" i="167"/>
  <c r="Q243" i="167"/>
  <c r="P243" i="167"/>
  <c r="O243" i="167"/>
  <c r="Q242" i="167"/>
  <c r="P242" i="167"/>
  <c r="O242" i="167"/>
  <c r="E242" i="167"/>
  <c r="E238" i="167"/>
  <c r="Q235" i="167"/>
  <c r="P235" i="167"/>
  <c r="O235" i="167"/>
  <c r="Q234" i="167"/>
  <c r="P234" i="167"/>
  <c r="O234" i="167"/>
  <c r="E234" i="167"/>
  <c r="C186" i="167"/>
  <c r="C191" i="167" s="1"/>
  <c r="I181" i="167"/>
  <c r="I180" i="167"/>
  <c r="M179" i="167"/>
  <c r="D179" i="167"/>
  <c r="C179" i="167"/>
  <c r="M178" i="167"/>
  <c r="D178" i="167"/>
  <c r="C178" i="167"/>
  <c r="M177" i="167"/>
  <c r="D177" i="167"/>
  <c r="C177" i="167"/>
  <c r="M176" i="167"/>
  <c r="D176" i="167"/>
  <c r="C176" i="167"/>
  <c r="M175" i="167"/>
  <c r="D175" i="167"/>
  <c r="C175" i="167"/>
  <c r="M174" i="167"/>
  <c r="D174" i="167"/>
  <c r="C174" i="167"/>
  <c r="M173" i="167"/>
  <c r="D173" i="167"/>
  <c r="C173" i="167"/>
  <c r="M172" i="167"/>
  <c r="D172" i="167"/>
  <c r="C172" i="167"/>
  <c r="M171" i="167"/>
  <c r="D171" i="167"/>
  <c r="C171" i="167"/>
  <c r="M170" i="167"/>
  <c r="D170" i="167"/>
  <c r="C170" i="167"/>
  <c r="M169" i="167"/>
  <c r="D169" i="167"/>
  <c r="C169" i="167"/>
  <c r="M168" i="167"/>
  <c r="D168" i="167"/>
  <c r="C168" i="167"/>
  <c r="M167" i="167"/>
  <c r="D167" i="167"/>
  <c r="C167" i="167"/>
  <c r="M166" i="167"/>
  <c r="D166" i="167"/>
  <c r="C166" i="167"/>
  <c r="K165" i="167"/>
  <c r="I165" i="167" s="1"/>
  <c r="D165" i="167"/>
  <c r="C165" i="167"/>
  <c r="Q151" i="167"/>
  <c r="P151" i="167"/>
  <c r="O151" i="167"/>
  <c r="E144" i="167"/>
  <c r="E143" i="167"/>
  <c r="E145" i="167" s="1"/>
  <c r="Q140" i="167"/>
  <c r="P140" i="167"/>
  <c r="O140" i="167"/>
  <c r="E140" i="167"/>
  <c r="Q139" i="167"/>
  <c r="P139" i="167"/>
  <c r="O139" i="167"/>
  <c r="Q138" i="167"/>
  <c r="P138" i="167"/>
  <c r="O138" i="167"/>
  <c r="E138" i="167"/>
  <c r="Q137" i="167"/>
  <c r="P137" i="167"/>
  <c r="O137" i="167"/>
  <c r="Q136" i="167"/>
  <c r="P136" i="167"/>
  <c r="O136" i="167"/>
  <c r="E136" i="167"/>
  <c r="B134" i="167"/>
  <c r="E131" i="167"/>
  <c r="E130" i="167"/>
  <c r="E129" i="167"/>
  <c r="Q126" i="167"/>
  <c r="P126" i="167"/>
  <c r="O126" i="167"/>
  <c r="E126" i="167"/>
  <c r="Q125" i="167"/>
  <c r="P125" i="167"/>
  <c r="O125" i="167"/>
  <c r="Q124" i="167"/>
  <c r="P124" i="167"/>
  <c r="O124" i="167"/>
  <c r="E124" i="167"/>
  <c r="Q123" i="167"/>
  <c r="P123" i="167"/>
  <c r="O123" i="167"/>
  <c r="Q122" i="167"/>
  <c r="P122" i="167"/>
  <c r="O122" i="167"/>
  <c r="E122" i="167"/>
  <c r="B120" i="167"/>
  <c r="E117" i="167"/>
  <c r="E116" i="167"/>
  <c r="E115" i="167"/>
  <c r="Q112" i="167"/>
  <c r="P112" i="167"/>
  <c r="O112" i="167"/>
  <c r="E112" i="167"/>
  <c r="Q111" i="167"/>
  <c r="P111" i="167"/>
  <c r="O111" i="167"/>
  <c r="Q110" i="167"/>
  <c r="P110" i="167"/>
  <c r="O110" i="167"/>
  <c r="E110" i="167"/>
  <c r="Q109" i="167"/>
  <c r="P109" i="167"/>
  <c r="O109" i="167"/>
  <c r="Q108" i="167"/>
  <c r="P108" i="167"/>
  <c r="O108" i="167"/>
  <c r="E108" i="167"/>
  <c r="B106" i="167"/>
  <c r="E102" i="167"/>
  <c r="E101" i="167"/>
  <c r="E100" i="167"/>
  <c r="Q97" i="167"/>
  <c r="P97" i="167"/>
  <c r="O97" i="167"/>
  <c r="E97" i="167"/>
  <c r="Q96" i="167"/>
  <c r="P96" i="167"/>
  <c r="O96" i="167"/>
  <c r="Q95" i="167"/>
  <c r="P95" i="167"/>
  <c r="O95" i="167"/>
  <c r="E95" i="167"/>
  <c r="Q94" i="167"/>
  <c r="P94" i="167"/>
  <c r="O94" i="167"/>
  <c r="Q93" i="167"/>
  <c r="P93" i="167"/>
  <c r="O93" i="167"/>
  <c r="E93" i="167"/>
  <c r="B91" i="167"/>
  <c r="E88" i="167"/>
  <c r="E87" i="167"/>
  <c r="E86" i="167"/>
  <c r="Q83" i="167"/>
  <c r="P83" i="167"/>
  <c r="O83" i="167"/>
  <c r="E83" i="167"/>
  <c r="Q82" i="167"/>
  <c r="P82" i="167"/>
  <c r="O82" i="167"/>
  <c r="Q81" i="167"/>
  <c r="P81" i="167"/>
  <c r="O81" i="167"/>
  <c r="E81" i="167"/>
  <c r="Q80" i="167"/>
  <c r="P80" i="167"/>
  <c r="O80" i="167"/>
  <c r="Q79" i="167"/>
  <c r="P79" i="167"/>
  <c r="O79" i="167"/>
  <c r="E79" i="167"/>
  <c r="B77" i="167"/>
  <c r="E73" i="167"/>
  <c r="E72" i="167"/>
  <c r="E71" i="167"/>
  <c r="Q68" i="167"/>
  <c r="P68" i="167"/>
  <c r="O68" i="167"/>
  <c r="E68" i="167"/>
  <c r="Q67" i="167"/>
  <c r="P67" i="167"/>
  <c r="O67" i="167"/>
  <c r="Q66" i="167"/>
  <c r="P66" i="167"/>
  <c r="O66" i="167"/>
  <c r="E66" i="167"/>
  <c r="Q65" i="167"/>
  <c r="P65" i="167"/>
  <c r="O65" i="167"/>
  <c r="Q64" i="167"/>
  <c r="P64" i="167"/>
  <c r="O64" i="167"/>
  <c r="E64" i="167"/>
  <c r="B62" i="167"/>
  <c r="E41" i="167"/>
  <c r="E39" i="167"/>
  <c r="E42" i="167" s="1"/>
  <c r="Q36" i="167"/>
  <c r="P36" i="167"/>
  <c r="O36" i="167"/>
  <c r="Q35" i="167"/>
  <c r="P35" i="167"/>
  <c r="O35" i="167"/>
  <c r="Q34" i="167"/>
  <c r="P34" i="167"/>
  <c r="O34" i="167"/>
  <c r="Q30" i="167"/>
  <c r="P30" i="167"/>
  <c r="O30" i="167"/>
  <c r="Q29" i="167"/>
  <c r="P29" i="167"/>
  <c r="O29" i="167"/>
  <c r="Q28" i="167"/>
  <c r="P28" i="167"/>
  <c r="O28" i="167"/>
  <c r="Q27" i="167"/>
  <c r="P27" i="167"/>
  <c r="O27" i="167"/>
  <c r="Q26" i="167"/>
  <c r="P26" i="167"/>
  <c r="O26" i="167"/>
  <c r="Q25" i="167"/>
  <c r="P25" i="167"/>
  <c r="O25" i="167"/>
  <c r="U24" i="167"/>
  <c r="U25" i="167" s="1"/>
  <c r="U27" i="167" s="1"/>
  <c r="Q24" i="167"/>
  <c r="P24" i="167"/>
  <c r="O24" i="167"/>
  <c r="Q23" i="167"/>
  <c r="P23" i="167"/>
  <c r="O23" i="167"/>
  <c r="Q22" i="167"/>
  <c r="P22" i="167"/>
  <c r="O22" i="167"/>
  <c r="P21" i="167"/>
  <c r="O21" i="167"/>
  <c r="Q20" i="167"/>
  <c r="P20" i="167"/>
  <c r="O20" i="167"/>
  <c r="Q19" i="167"/>
  <c r="P19" i="167"/>
  <c r="O19" i="167"/>
  <c r="Q18" i="167"/>
  <c r="P18" i="167"/>
  <c r="O18" i="167"/>
  <c r="Q17" i="167"/>
  <c r="P17" i="167"/>
  <c r="O17" i="167"/>
  <c r="Q15" i="167"/>
  <c r="P15" i="167"/>
  <c r="O15" i="167"/>
  <c r="Q14" i="167"/>
  <c r="P14" i="167"/>
  <c r="O14" i="167"/>
  <c r="Q13" i="167"/>
  <c r="P13" i="167"/>
  <c r="O13" i="167"/>
  <c r="Q12" i="167"/>
  <c r="P12" i="167"/>
  <c r="O12" i="167"/>
  <c r="Q11" i="167"/>
  <c r="P11" i="167"/>
  <c r="O11" i="167"/>
  <c r="Q10" i="167"/>
  <c r="P10" i="167"/>
  <c r="O10" i="167"/>
  <c r="Q9" i="167"/>
  <c r="P9" i="167"/>
  <c r="O9" i="167"/>
  <c r="Q8" i="167"/>
  <c r="P8" i="167"/>
  <c r="O8" i="167"/>
  <c r="Q7" i="167"/>
  <c r="P7" i="167"/>
  <c r="O7" i="167"/>
  <c r="E7" i="167"/>
  <c r="Q6" i="167"/>
  <c r="P6" i="167"/>
  <c r="O6" i="167"/>
  <c r="Q5" i="167"/>
  <c r="P5" i="167"/>
  <c r="O5" i="167"/>
  <c r="E5" i="167"/>
  <c r="E9" i="167" s="1"/>
  <c r="B3" i="167"/>
  <c r="D81" i="166"/>
  <c r="C81" i="166"/>
  <c r="D76" i="166"/>
  <c r="C76" i="166"/>
  <c r="D71" i="166"/>
  <c r="C71" i="166"/>
  <c r="D66" i="166"/>
  <c r="C66" i="166"/>
  <c r="D61" i="166"/>
  <c r="C61" i="166"/>
  <c r="D56" i="166"/>
  <c r="C56" i="166"/>
  <c r="D51" i="166"/>
  <c r="C51" i="166"/>
  <c r="D46" i="166"/>
  <c r="C46" i="166"/>
  <c r="D40" i="166"/>
  <c r="C40" i="166"/>
  <c r="D34" i="166"/>
  <c r="C34" i="166"/>
  <c r="D28" i="166"/>
  <c r="C28" i="166"/>
  <c r="D22" i="166"/>
  <c r="C22" i="166"/>
  <c r="D16" i="166"/>
  <c r="C16" i="166"/>
  <c r="D10" i="166"/>
  <c r="C10" i="166"/>
  <c r="C4" i="166"/>
  <c r="D4" i="165"/>
  <c r="G96" i="164"/>
  <c r="G93" i="164"/>
  <c r="G90" i="164"/>
  <c r="W59" i="164"/>
  <c r="H81" i="166" s="1"/>
  <c r="H82" i="166" s="1"/>
  <c r="V59" i="164"/>
  <c r="U59" i="164"/>
  <c r="T59" i="164"/>
  <c r="S59" i="164"/>
  <c r="R59" i="164"/>
  <c r="Q59" i="164"/>
  <c r="H51" i="166" s="1"/>
  <c r="H52" i="166" s="1"/>
  <c r="P59" i="164"/>
  <c r="O59" i="164"/>
  <c r="H40" i="166" s="1"/>
  <c r="H41" i="166" s="1"/>
  <c r="N59" i="164"/>
  <c r="H34" i="166" s="1"/>
  <c r="H35" i="166" s="1"/>
  <c r="M59" i="164"/>
  <c r="H28" i="166" s="1"/>
  <c r="H29" i="166" s="1"/>
  <c r="L59" i="164"/>
  <c r="H22" i="166" s="1"/>
  <c r="H23" i="166" s="1"/>
  <c r="K59" i="164"/>
  <c r="H16" i="166" s="1"/>
  <c r="H17" i="166" s="1"/>
  <c r="J59" i="164"/>
  <c r="Y55" i="164"/>
  <c r="X55" i="164"/>
  <c r="H55" i="164"/>
  <c r="G55" i="164"/>
  <c r="C55" i="164"/>
  <c r="B55" i="164"/>
  <c r="G45" i="164"/>
  <c r="G42" i="164"/>
  <c r="G39" i="164"/>
  <c r="X29" i="164"/>
  <c r="X80" i="164" s="1"/>
  <c r="X28" i="164"/>
  <c r="X79" i="164" s="1"/>
  <c r="X27" i="164"/>
  <c r="X78" i="164" s="1"/>
  <c r="X26" i="164"/>
  <c r="X77" i="164" s="1"/>
  <c r="X25" i="164"/>
  <c r="X76" i="164" s="1"/>
  <c r="X24" i="164"/>
  <c r="X75" i="164" s="1"/>
  <c r="X23" i="164"/>
  <c r="X74" i="164" s="1"/>
  <c r="X22" i="164"/>
  <c r="X73" i="164" s="1"/>
  <c r="X20" i="164"/>
  <c r="X71" i="164" s="1"/>
  <c r="X19" i="164"/>
  <c r="X70" i="164" s="1"/>
  <c r="W18" i="164"/>
  <c r="V18" i="164"/>
  <c r="U18" i="164"/>
  <c r="T18" i="164"/>
  <c r="S18" i="164"/>
  <c r="R18" i="164"/>
  <c r="Q18" i="164"/>
  <c r="P18" i="164"/>
  <c r="O18" i="164"/>
  <c r="N18" i="164"/>
  <c r="M18" i="164"/>
  <c r="L18" i="164"/>
  <c r="K18" i="164"/>
  <c r="J18" i="164"/>
  <c r="W17" i="164"/>
  <c r="W68" i="164" s="1"/>
  <c r="V17" i="164"/>
  <c r="V68" i="164" s="1"/>
  <c r="U17" i="164"/>
  <c r="U68" i="164" s="1"/>
  <c r="T17" i="164"/>
  <c r="T68" i="164" s="1"/>
  <c r="S17" i="164"/>
  <c r="S68" i="164" s="1"/>
  <c r="R17" i="164"/>
  <c r="R68" i="164" s="1"/>
  <c r="Q17" i="164"/>
  <c r="Q68" i="164" s="1"/>
  <c r="P17" i="164"/>
  <c r="P68" i="164" s="1"/>
  <c r="O68" i="164"/>
  <c r="N68" i="164"/>
  <c r="M68" i="164"/>
  <c r="L68" i="164"/>
  <c r="K68" i="164"/>
  <c r="J68" i="164"/>
  <c r="I68" i="164"/>
  <c r="W16" i="164"/>
  <c r="V16" i="164"/>
  <c r="U16" i="164"/>
  <c r="T16" i="164"/>
  <c r="S16" i="164"/>
  <c r="R16" i="164"/>
  <c r="Q16" i="164"/>
  <c r="P16" i="164"/>
  <c r="O16" i="164"/>
  <c r="N16" i="164"/>
  <c r="M16" i="164"/>
  <c r="L16" i="164"/>
  <c r="K16" i="164"/>
  <c r="J16" i="164"/>
  <c r="W15" i="164"/>
  <c r="V15" i="164"/>
  <c r="U15" i="164"/>
  <c r="T15" i="164"/>
  <c r="S15" i="164"/>
  <c r="R15" i="164"/>
  <c r="Q15" i="164"/>
  <c r="P15" i="164"/>
  <c r="O15" i="164"/>
  <c r="N15" i="164"/>
  <c r="M15" i="164"/>
  <c r="L15" i="164"/>
  <c r="K15" i="164"/>
  <c r="J15" i="164"/>
  <c r="W14" i="164"/>
  <c r="W65" i="164" s="1"/>
  <c r="V14" i="164"/>
  <c r="V65" i="164" s="1"/>
  <c r="U14" i="164"/>
  <c r="U65" i="164" s="1"/>
  <c r="T14" i="164"/>
  <c r="T65" i="164" s="1"/>
  <c r="S14" i="164"/>
  <c r="S65" i="164" s="1"/>
  <c r="R14" i="164"/>
  <c r="R65" i="164" s="1"/>
  <c r="Q14" i="164"/>
  <c r="Q65" i="164" s="1"/>
  <c r="P14" i="164"/>
  <c r="P65" i="164" s="1"/>
  <c r="O14" i="164"/>
  <c r="O65" i="164" s="1"/>
  <c r="N14" i="164"/>
  <c r="N65" i="164" s="1"/>
  <c r="M14" i="164"/>
  <c r="M65" i="164" s="1"/>
  <c r="L14" i="164"/>
  <c r="L65" i="164" s="1"/>
  <c r="K14" i="164"/>
  <c r="K65" i="164" s="1"/>
  <c r="J14" i="164"/>
  <c r="J65" i="164" s="1"/>
  <c r="I14" i="164"/>
  <c r="I65" i="164" s="1"/>
  <c r="W8" i="164"/>
  <c r="G81" i="166" s="1"/>
  <c r="G82" i="166" s="1"/>
  <c r="V8" i="164"/>
  <c r="G76" i="166" s="1"/>
  <c r="G77" i="166" s="1"/>
  <c r="U8" i="164"/>
  <c r="G71" i="166" s="1"/>
  <c r="G72" i="166" s="1"/>
  <c r="T8" i="164"/>
  <c r="G66" i="166" s="1"/>
  <c r="G67" i="166" s="1"/>
  <c r="S8" i="164"/>
  <c r="G61" i="166" s="1"/>
  <c r="R8" i="164"/>
  <c r="G56" i="166" s="1"/>
  <c r="G57" i="166" s="1"/>
  <c r="Q8" i="164"/>
  <c r="G51" i="166" s="1"/>
  <c r="G52" i="166" s="1"/>
  <c r="P8" i="164"/>
  <c r="G46" i="166" s="1"/>
  <c r="O8" i="164"/>
  <c r="G40" i="166" s="1"/>
  <c r="G41" i="166" s="1"/>
  <c r="N8" i="164"/>
  <c r="G34" i="166" s="1"/>
  <c r="G35" i="166" s="1"/>
  <c r="M8" i="164"/>
  <c r="G28" i="166" s="1"/>
  <c r="G29" i="166" s="1"/>
  <c r="L8" i="164"/>
  <c r="G22" i="166" s="1"/>
  <c r="G23" i="166" s="1"/>
  <c r="K8" i="164"/>
  <c r="G16" i="166" s="1"/>
  <c r="G17" i="166" s="1"/>
  <c r="J8" i="164"/>
  <c r="G10" i="166" s="1"/>
  <c r="G11" i="166" s="1"/>
  <c r="G4" i="166"/>
  <c r="G5" i="166" s="1"/>
  <c r="W6" i="164"/>
  <c r="W57" i="164" s="1"/>
  <c r="V6" i="164"/>
  <c r="V57" i="164" s="1"/>
  <c r="D10" i="165" s="1"/>
  <c r="U6" i="164"/>
  <c r="U57" i="164" s="1"/>
  <c r="D9" i="165" s="1"/>
  <c r="T6" i="164"/>
  <c r="T57" i="164" s="1"/>
  <c r="D8" i="165" s="1"/>
  <c r="S6" i="164"/>
  <c r="S57" i="164" s="1"/>
  <c r="D7" i="165" s="1"/>
  <c r="R6" i="164"/>
  <c r="R57" i="164" s="1"/>
  <c r="D6" i="165" s="1"/>
  <c r="Q6" i="164"/>
  <c r="Q57" i="164" s="1"/>
  <c r="P6" i="164"/>
  <c r="P57" i="164" s="1"/>
  <c r="O6" i="164"/>
  <c r="O57" i="164" s="1"/>
  <c r="N6" i="164"/>
  <c r="N57" i="164" s="1"/>
  <c r="M6" i="164"/>
  <c r="M57" i="164" s="1"/>
  <c r="L6" i="164"/>
  <c r="L57" i="164" s="1"/>
  <c r="K6" i="164"/>
  <c r="K57" i="164" s="1"/>
  <c r="J6" i="164"/>
  <c r="J57" i="164" s="1"/>
  <c r="I57" i="164"/>
  <c r="W4" i="164"/>
  <c r="W55" i="164" s="1"/>
  <c r="V4" i="164"/>
  <c r="V55" i="164" s="1"/>
  <c r="U4" i="164"/>
  <c r="U55" i="164" s="1"/>
  <c r="T4" i="164"/>
  <c r="T55" i="164" s="1"/>
  <c r="S4" i="164"/>
  <c r="S55" i="164" s="1"/>
  <c r="R4" i="164"/>
  <c r="R55" i="164" s="1"/>
  <c r="Q4" i="164"/>
  <c r="Q55" i="164" s="1"/>
  <c r="P4" i="164"/>
  <c r="P55" i="164" s="1"/>
  <c r="O55" i="164"/>
  <c r="N4" i="164"/>
  <c r="N55" i="164" s="1"/>
  <c r="M4" i="164"/>
  <c r="M55" i="164" s="1"/>
  <c r="L4" i="164"/>
  <c r="L55" i="164" s="1"/>
  <c r="K4" i="164"/>
  <c r="K55" i="164" s="1"/>
  <c r="J4" i="164"/>
  <c r="J55" i="164" s="1"/>
  <c r="I4" i="164"/>
  <c r="I55" i="164" s="1"/>
  <c r="I252" i="162"/>
  <c r="I251" i="162"/>
  <c r="M250" i="162"/>
  <c r="D250" i="162"/>
  <c r="C250" i="162"/>
  <c r="M249" i="162"/>
  <c r="D249" i="162"/>
  <c r="C249" i="162"/>
  <c r="M248" i="162"/>
  <c r="D248" i="162"/>
  <c r="C248" i="162"/>
  <c r="M247" i="162"/>
  <c r="D247" i="162"/>
  <c r="C247" i="162"/>
  <c r="M246" i="162"/>
  <c r="D246" i="162"/>
  <c r="C246" i="162"/>
  <c r="M245" i="162"/>
  <c r="D245" i="162"/>
  <c r="C245" i="162"/>
  <c r="M244" i="162"/>
  <c r="D244" i="162"/>
  <c r="C244" i="162"/>
  <c r="M243" i="162"/>
  <c r="D243" i="162"/>
  <c r="C243" i="162"/>
  <c r="M242" i="162"/>
  <c r="D242" i="162"/>
  <c r="C242" i="162"/>
  <c r="M241" i="162"/>
  <c r="D241" i="162"/>
  <c r="C241" i="162"/>
  <c r="M240" i="162"/>
  <c r="D240" i="162"/>
  <c r="C240" i="162"/>
  <c r="M239" i="162"/>
  <c r="D239" i="162"/>
  <c r="C239" i="162"/>
  <c r="M238" i="162"/>
  <c r="D238" i="162"/>
  <c r="C238" i="162"/>
  <c r="M237" i="162"/>
  <c r="D237" i="162"/>
  <c r="C237" i="162"/>
  <c r="M236" i="162"/>
  <c r="D236" i="162"/>
  <c r="C236" i="162"/>
  <c r="I231" i="162"/>
  <c r="I230" i="162"/>
  <c r="M229" i="162"/>
  <c r="D229" i="162"/>
  <c r="C229" i="162"/>
  <c r="M228" i="162"/>
  <c r="D228" i="162"/>
  <c r="C228" i="162"/>
  <c r="M227" i="162"/>
  <c r="D227" i="162"/>
  <c r="C227" i="162"/>
  <c r="M226" i="162"/>
  <c r="D226" i="162"/>
  <c r="C226" i="162"/>
  <c r="Q212" i="162"/>
  <c r="P212" i="162"/>
  <c r="O212" i="162"/>
  <c r="E207" i="162"/>
  <c r="E206" i="162"/>
  <c r="E205" i="162"/>
  <c r="E204" i="162"/>
  <c r="E203" i="162"/>
  <c r="E201" i="162"/>
  <c r="E200" i="162"/>
  <c r="E202" i="162" s="1"/>
  <c r="Q197" i="162"/>
  <c r="P197" i="162"/>
  <c r="O197" i="162"/>
  <c r="Q196" i="162"/>
  <c r="P196" i="162"/>
  <c r="O196" i="162"/>
  <c r="E196" i="162"/>
  <c r="Q195" i="162"/>
  <c r="P195" i="162"/>
  <c r="O195" i="162"/>
  <c r="E195" i="162"/>
  <c r="Q194" i="162"/>
  <c r="P194" i="162"/>
  <c r="O194" i="162"/>
  <c r="Q193" i="162"/>
  <c r="P193" i="162"/>
  <c r="O193" i="162"/>
  <c r="E193" i="162"/>
  <c r="Q192" i="162"/>
  <c r="P192" i="162"/>
  <c r="O192" i="162"/>
  <c r="E192" i="162"/>
  <c r="Q191" i="162"/>
  <c r="P191" i="162"/>
  <c r="O191" i="162"/>
  <c r="E191" i="162"/>
  <c r="Q190" i="162"/>
  <c r="P190" i="162"/>
  <c r="O190" i="162"/>
  <c r="E190" i="162"/>
  <c r="Q189" i="162"/>
  <c r="P189" i="162"/>
  <c r="O189" i="162"/>
  <c r="Q188" i="162"/>
  <c r="P188" i="162"/>
  <c r="O188" i="162"/>
  <c r="E188" i="162"/>
  <c r="Q187" i="162"/>
  <c r="P187" i="162"/>
  <c r="O187" i="162"/>
  <c r="E187" i="162"/>
  <c r="Q186" i="162"/>
  <c r="P186" i="162"/>
  <c r="O186" i="162"/>
  <c r="Q185" i="162"/>
  <c r="P185" i="162"/>
  <c r="O185" i="162"/>
  <c r="E185" i="162"/>
  <c r="Q184" i="162"/>
  <c r="P184" i="162"/>
  <c r="O184" i="162"/>
  <c r="Q183" i="162"/>
  <c r="P183" i="162"/>
  <c r="O183" i="162"/>
  <c r="E183" i="162"/>
  <c r="B181" i="162"/>
  <c r="E178" i="162"/>
  <c r="E177" i="162"/>
  <c r="E176" i="162"/>
  <c r="E175" i="162"/>
  <c r="E174" i="162"/>
  <c r="E173" i="162"/>
  <c r="E172" i="162"/>
  <c r="E171" i="162"/>
  <c r="Q168" i="162"/>
  <c r="P168" i="162"/>
  <c r="O168" i="162"/>
  <c r="Q167" i="162"/>
  <c r="P167" i="162"/>
  <c r="O167" i="162"/>
  <c r="E167" i="162"/>
  <c r="Q166" i="162"/>
  <c r="P166" i="162"/>
  <c r="O166" i="162"/>
  <c r="E166" i="162"/>
  <c r="Q165" i="162"/>
  <c r="P165" i="162"/>
  <c r="O165" i="162"/>
  <c r="Q164" i="162"/>
  <c r="P164" i="162"/>
  <c r="O164" i="162"/>
  <c r="E164" i="162"/>
  <c r="Q163" i="162"/>
  <c r="P163" i="162"/>
  <c r="O163" i="162"/>
  <c r="E163" i="162"/>
  <c r="Q162" i="162"/>
  <c r="P162" i="162"/>
  <c r="O162" i="162"/>
  <c r="E162" i="162"/>
  <c r="Q161" i="162"/>
  <c r="P161" i="162"/>
  <c r="O161" i="162"/>
  <c r="E161" i="162"/>
  <c r="Q160" i="162"/>
  <c r="P160" i="162"/>
  <c r="O160" i="162"/>
  <c r="Q159" i="162"/>
  <c r="P159" i="162"/>
  <c r="O159" i="162"/>
  <c r="E159" i="162"/>
  <c r="Q158" i="162"/>
  <c r="P158" i="162"/>
  <c r="O158" i="162"/>
  <c r="E158" i="162"/>
  <c r="Q157" i="162"/>
  <c r="P157" i="162"/>
  <c r="O157" i="162"/>
  <c r="Q156" i="162"/>
  <c r="P156" i="162"/>
  <c r="O156" i="162"/>
  <c r="E156" i="162"/>
  <c r="Q155" i="162"/>
  <c r="P155" i="162"/>
  <c r="O155" i="162"/>
  <c r="Q154" i="162"/>
  <c r="P154" i="162"/>
  <c r="O154" i="162"/>
  <c r="E154" i="162"/>
  <c r="B152" i="162"/>
  <c r="E149" i="162"/>
  <c r="E148" i="162"/>
  <c r="E147" i="162"/>
  <c r="E146" i="162"/>
  <c r="E145" i="162"/>
  <c r="E144" i="162"/>
  <c r="E143" i="162"/>
  <c r="E142" i="162"/>
  <c r="Q139" i="162"/>
  <c r="P139" i="162"/>
  <c r="O139" i="162"/>
  <c r="Q138" i="162"/>
  <c r="P138" i="162"/>
  <c r="O138" i="162"/>
  <c r="E138" i="162"/>
  <c r="Q137" i="162"/>
  <c r="P137" i="162"/>
  <c r="O137" i="162"/>
  <c r="E137" i="162"/>
  <c r="Q136" i="162"/>
  <c r="P136" i="162"/>
  <c r="O136" i="162"/>
  <c r="Q135" i="162"/>
  <c r="P135" i="162"/>
  <c r="O135" i="162"/>
  <c r="E135" i="162"/>
  <c r="Q134" i="162"/>
  <c r="P134" i="162"/>
  <c r="O134" i="162"/>
  <c r="E134" i="162"/>
  <c r="Q133" i="162"/>
  <c r="P133" i="162"/>
  <c r="O133" i="162"/>
  <c r="E133" i="162"/>
  <c r="Q132" i="162"/>
  <c r="P132" i="162"/>
  <c r="O132" i="162"/>
  <c r="E132" i="162"/>
  <c r="Q131" i="162"/>
  <c r="P131" i="162"/>
  <c r="O131" i="162"/>
  <c r="Q130" i="162"/>
  <c r="P130" i="162"/>
  <c r="O130" i="162"/>
  <c r="E130" i="162"/>
  <c r="Q129" i="162"/>
  <c r="P129" i="162"/>
  <c r="O129" i="162"/>
  <c r="E129" i="162"/>
  <c r="Q128" i="162"/>
  <c r="P128" i="162"/>
  <c r="O128" i="162"/>
  <c r="Q127" i="162"/>
  <c r="P127" i="162"/>
  <c r="O127" i="162"/>
  <c r="E127" i="162"/>
  <c r="Q126" i="162"/>
  <c r="P126" i="162"/>
  <c r="O126" i="162"/>
  <c r="Q125" i="162"/>
  <c r="P125" i="162"/>
  <c r="O125" i="162"/>
  <c r="E125" i="162"/>
  <c r="B123" i="162"/>
  <c r="E120" i="162"/>
  <c r="E119" i="162"/>
  <c r="E118" i="162"/>
  <c r="E117" i="162"/>
  <c r="E116" i="162"/>
  <c r="E115" i="162"/>
  <c r="E114" i="162"/>
  <c r="E113" i="162"/>
  <c r="Q110" i="162"/>
  <c r="P110" i="162"/>
  <c r="O110" i="162"/>
  <c r="Q109" i="162"/>
  <c r="P109" i="162"/>
  <c r="O109" i="162"/>
  <c r="E109" i="162"/>
  <c r="Q108" i="162"/>
  <c r="P108" i="162"/>
  <c r="O108" i="162"/>
  <c r="E108" i="162"/>
  <c r="Q107" i="162"/>
  <c r="P107" i="162"/>
  <c r="O107" i="162"/>
  <c r="Q106" i="162"/>
  <c r="P106" i="162"/>
  <c r="O106" i="162"/>
  <c r="E106" i="162"/>
  <c r="Q105" i="162"/>
  <c r="P105" i="162"/>
  <c r="O105" i="162"/>
  <c r="E105" i="162"/>
  <c r="Q104" i="162"/>
  <c r="P104" i="162"/>
  <c r="O104" i="162"/>
  <c r="E104" i="162"/>
  <c r="Q103" i="162"/>
  <c r="P103" i="162"/>
  <c r="O103" i="162"/>
  <c r="E103" i="162"/>
  <c r="Q102" i="162"/>
  <c r="P102" i="162"/>
  <c r="O102" i="162"/>
  <c r="Q101" i="162"/>
  <c r="P101" i="162"/>
  <c r="O101" i="162"/>
  <c r="E101" i="162"/>
  <c r="Q100" i="162"/>
  <c r="P100" i="162"/>
  <c r="O100" i="162"/>
  <c r="E100" i="162"/>
  <c r="Q99" i="162"/>
  <c r="P99" i="162"/>
  <c r="O99" i="162"/>
  <c r="Q98" i="162"/>
  <c r="P98" i="162"/>
  <c r="O98" i="162"/>
  <c r="E98" i="162"/>
  <c r="Q97" i="162"/>
  <c r="P97" i="162"/>
  <c r="O97" i="162"/>
  <c r="Q96" i="162"/>
  <c r="P96" i="162"/>
  <c r="O96" i="162"/>
  <c r="E96" i="162"/>
  <c r="B94" i="162"/>
  <c r="E89" i="162"/>
  <c r="E88" i="162"/>
  <c r="E87" i="162"/>
  <c r="E86" i="162"/>
  <c r="E85" i="162"/>
  <c r="E84" i="162"/>
  <c r="Q81" i="162"/>
  <c r="P81" i="162"/>
  <c r="O81" i="162"/>
  <c r="Q80" i="162"/>
  <c r="P80" i="162"/>
  <c r="O80" i="162"/>
  <c r="E80" i="162"/>
  <c r="Q79" i="162"/>
  <c r="P79" i="162"/>
  <c r="O79" i="162"/>
  <c r="E79" i="162"/>
  <c r="Q78" i="162"/>
  <c r="P78" i="162"/>
  <c r="O78" i="162"/>
  <c r="Q77" i="162"/>
  <c r="P77" i="162"/>
  <c r="O77" i="162"/>
  <c r="E77" i="162"/>
  <c r="Q76" i="162"/>
  <c r="P76" i="162"/>
  <c r="O76" i="162"/>
  <c r="E76" i="162"/>
  <c r="Q75" i="162"/>
  <c r="P75" i="162"/>
  <c r="O75" i="162"/>
  <c r="E75" i="162"/>
  <c r="Q74" i="162"/>
  <c r="P74" i="162"/>
  <c r="O74" i="162"/>
  <c r="E74" i="162"/>
  <c r="Q73" i="162"/>
  <c r="P73" i="162"/>
  <c r="O73" i="162"/>
  <c r="Q72" i="162"/>
  <c r="P72" i="162"/>
  <c r="O72" i="162"/>
  <c r="E72" i="162"/>
  <c r="Q71" i="162"/>
  <c r="P71" i="162"/>
  <c r="O71" i="162"/>
  <c r="E71" i="162"/>
  <c r="Q70" i="162"/>
  <c r="P70" i="162"/>
  <c r="O70" i="162"/>
  <c r="Q69" i="162"/>
  <c r="P69" i="162"/>
  <c r="O69" i="162"/>
  <c r="E69" i="162"/>
  <c r="Q68" i="162"/>
  <c r="P68" i="162"/>
  <c r="O68" i="162"/>
  <c r="Q67" i="162"/>
  <c r="P67" i="162"/>
  <c r="O67" i="162"/>
  <c r="E67" i="162"/>
  <c r="B65" i="162"/>
  <c r="E62" i="162"/>
  <c r="E61" i="162"/>
  <c r="E60" i="162"/>
  <c r="E59" i="162"/>
  <c r="E58" i="162"/>
  <c r="E57" i="162"/>
  <c r="E56" i="162"/>
  <c r="E55" i="162"/>
  <c r="Q52" i="162"/>
  <c r="P52" i="162"/>
  <c r="O52" i="162"/>
  <c r="Q51" i="162"/>
  <c r="P51" i="162"/>
  <c r="O51" i="162"/>
  <c r="E51" i="162"/>
  <c r="Q50" i="162"/>
  <c r="P50" i="162"/>
  <c r="O50" i="162"/>
  <c r="E50" i="162"/>
  <c r="Q49" i="162"/>
  <c r="P49" i="162"/>
  <c r="O49" i="162"/>
  <c r="Q48" i="162"/>
  <c r="P48" i="162"/>
  <c r="O48" i="162"/>
  <c r="E48" i="162"/>
  <c r="Q47" i="162"/>
  <c r="P47" i="162"/>
  <c r="O47" i="162"/>
  <c r="E47" i="162"/>
  <c r="Q46" i="162"/>
  <c r="P46" i="162"/>
  <c r="O46" i="162"/>
  <c r="E46" i="162"/>
  <c r="Q45" i="162"/>
  <c r="P45" i="162"/>
  <c r="O45" i="162"/>
  <c r="E45" i="162"/>
  <c r="Q44" i="162"/>
  <c r="P44" i="162"/>
  <c r="O44" i="162"/>
  <c r="Q43" i="162"/>
  <c r="P43" i="162"/>
  <c r="O43" i="162"/>
  <c r="E43" i="162"/>
  <c r="Q42" i="162"/>
  <c r="P42" i="162"/>
  <c r="O42" i="162"/>
  <c r="E42" i="162"/>
  <c r="Q41" i="162"/>
  <c r="P41" i="162"/>
  <c r="O41" i="162"/>
  <c r="Q40" i="162"/>
  <c r="P40" i="162"/>
  <c r="O40" i="162"/>
  <c r="E40" i="162"/>
  <c r="Q39" i="162"/>
  <c r="P39" i="162"/>
  <c r="O39" i="162"/>
  <c r="Q38" i="162"/>
  <c r="P38" i="162"/>
  <c r="O38" i="162"/>
  <c r="E38" i="162"/>
  <c r="B36" i="162"/>
  <c r="E32" i="162"/>
  <c r="E29" i="162"/>
  <c r="E28" i="162"/>
  <c r="E27" i="162"/>
  <c r="E25" i="162"/>
  <c r="E24" i="162"/>
  <c r="E26" i="162" s="1"/>
  <c r="Q21" i="162"/>
  <c r="P21" i="162"/>
  <c r="O21" i="162"/>
  <c r="E21" i="162"/>
  <c r="Q20" i="162"/>
  <c r="P20" i="162"/>
  <c r="O20" i="162"/>
  <c r="E20" i="162"/>
  <c r="Q19" i="162"/>
  <c r="P19" i="162"/>
  <c r="O19" i="162"/>
  <c r="E19" i="162"/>
  <c r="Q18" i="162"/>
  <c r="P18" i="162"/>
  <c r="O18" i="162"/>
  <c r="Q17" i="162"/>
  <c r="P17" i="162"/>
  <c r="O17" i="162"/>
  <c r="Q16" i="162"/>
  <c r="P16" i="162"/>
  <c r="O16" i="162"/>
  <c r="E16" i="162"/>
  <c r="Q15" i="162"/>
  <c r="P15" i="162"/>
  <c r="O15" i="162"/>
  <c r="E15" i="162"/>
  <c r="Q14" i="162"/>
  <c r="P14" i="162"/>
  <c r="O14" i="162"/>
  <c r="E14" i="162"/>
  <c r="Q13" i="162"/>
  <c r="P13" i="162"/>
  <c r="O13" i="162"/>
  <c r="E13" i="162"/>
  <c r="Q12" i="162"/>
  <c r="P12" i="162"/>
  <c r="O12" i="162"/>
  <c r="E12" i="162"/>
  <c r="Q11" i="162"/>
  <c r="P11" i="162"/>
  <c r="O11" i="162"/>
  <c r="E11" i="162"/>
  <c r="Q10" i="162"/>
  <c r="P10" i="162"/>
  <c r="O10" i="162"/>
  <c r="E10" i="162"/>
  <c r="Q9" i="162"/>
  <c r="P9" i="162"/>
  <c r="O9" i="162"/>
  <c r="Q8" i="162"/>
  <c r="P8" i="162"/>
  <c r="O8" i="162"/>
  <c r="Q7" i="162"/>
  <c r="P7" i="162"/>
  <c r="O7" i="162"/>
  <c r="E7" i="162"/>
  <c r="Q6" i="162"/>
  <c r="P6" i="162"/>
  <c r="O6" i="162"/>
  <c r="Q5" i="162"/>
  <c r="P5" i="162"/>
  <c r="O5" i="162"/>
  <c r="E5" i="162"/>
  <c r="E9" i="162" s="1"/>
  <c r="B3" i="162"/>
  <c r="D4" i="161"/>
  <c r="D81" i="160"/>
  <c r="C81" i="160"/>
  <c r="D76" i="160"/>
  <c r="C76" i="160"/>
  <c r="D71" i="160"/>
  <c r="C71" i="160"/>
  <c r="D66" i="160"/>
  <c r="C66" i="160"/>
  <c r="D61" i="160"/>
  <c r="C61" i="160"/>
  <c r="D56" i="160"/>
  <c r="C56" i="160"/>
  <c r="D51" i="160"/>
  <c r="C51" i="160"/>
  <c r="D46" i="160"/>
  <c r="C46" i="160"/>
  <c r="D40" i="160"/>
  <c r="C40" i="160"/>
  <c r="D34" i="160"/>
  <c r="C34" i="160"/>
  <c r="D28" i="160"/>
  <c r="C28" i="160"/>
  <c r="D22" i="160"/>
  <c r="C22" i="160"/>
  <c r="D16" i="160"/>
  <c r="C16" i="160"/>
  <c r="D10" i="160"/>
  <c r="C10" i="160"/>
  <c r="D4" i="160"/>
  <c r="C4" i="160"/>
  <c r="G96" i="159"/>
  <c r="G93" i="159"/>
  <c r="G90" i="159"/>
  <c r="W59" i="159"/>
  <c r="H81" i="160" s="1"/>
  <c r="H82" i="160" s="1"/>
  <c r="V59" i="159"/>
  <c r="U59" i="159"/>
  <c r="T59" i="159"/>
  <c r="S59" i="159"/>
  <c r="R59" i="159"/>
  <c r="Q59" i="159"/>
  <c r="H51" i="160" s="1"/>
  <c r="H52" i="160" s="1"/>
  <c r="P59" i="159"/>
  <c r="O59" i="159"/>
  <c r="H40" i="160" s="1"/>
  <c r="H41" i="160" s="1"/>
  <c r="N59" i="159"/>
  <c r="H34" i="160" s="1"/>
  <c r="H35" i="160" s="1"/>
  <c r="M59" i="159"/>
  <c r="H28" i="160" s="1"/>
  <c r="H29" i="160" s="1"/>
  <c r="L59" i="159"/>
  <c r="H22" i="160" s="1"/>
  <c r="H23" i="160" s="1"/>
  <c r="K59" i="159"/>
  <c r="H16" i="160" s="1"/>
  <c r="H17" i="160" s="1"/>
  <c r="J59" i="159"/>
  <c r="H10" i="160" s="1"/>
  <c r="H11" i="160" s="1"/>
  <c r="I59" i="159"/>
  <c r="Y55" i="159"/>
  <c r="X55" i="159"/>
  <c r="H55" i="159"/>
  <c r="G55" i="159"/>
  <c r="C55" i="159"/>
  <c r="B55" i="159"/>
  <c r="G45" i="159"/>
  <c r="G42" i="159"/>
  <c r="G39" i="159"/>
  <c r="X29" i="159"/>
  <c r="X80" i="159" s="1"/>
  <c r="X28" i="159"/>
  <c r="X79" i="159" s="1"/>
  <c r="X27" i="159"/>
  <c r="X78" i="159" s="1"/>
  <c r="X26" i="159"/>
  <c r="X77" i="159" s="1"/>
  <c r="X25" i="159"/>
  <c r="X76" i="159" s="1"/>
  <c r="X24" i="159"/>
  <c r="X75" i="159" s="1"/>
  <c r="X23" i="159"/>
  <c r="X74" i="159" s="1"/>
  <c r="X22" i="159"/>
  <c r="X73" i="159" s="1"/>
  <c r="X20" i="159"/>
  <c r="X71" i="159" s="1"/>
  <c r="X19" i="159"/>
  <c r="X70" i="159" s="1"/>
  <c r="W18" i="159"/>
  <c r="V18" i="159"/>
  <c r="U18" i="159"/>
  <c r="T18" i="159"/>
  <c r="S18" i="159"/>
  <c r="R18" i="159"/>
  <c r="Q18" i="159"/>
  <c r="P18" i="159"/>
  <c r="O18" i="159"/>
  <c r="N18" i="159"/>
  <c r="M18" i="159"/>
  <c r="L18" i="159"/>
  <c r="K18" i="159"/>
  <c r="J18" i="159"/>
  <c r="I18" i="159"/>
  <c r="W17" i="159"/>
  <c r="W68" i="159" s="1"/>
  <c r="V17" i="159"/>
  <c r="V68" i="159" s="1"/>
  <c r="U17" i="159"/>
  <c r="U68" i="159" s="1"/>
  <c r="T17" i="159"/>
  <c r="T68" i="159" s="1"/>
  <c r="S17" i="159"/>
  <c r="S68" i="159" s="1"/>
  <c r="R17" i="159"/>
  <c r="R68" i="159" s="1"/>
  <c r="Q17" i="159"/>
  <c r="Q68" i="159" s="1"/>
  <c r="P17" i="159"/>
  <c r="P68" i="159" s="1"/>
  <c r="O17" i="159"/>
  <c r="O68" i="159" s="1"/>
  <c r="N17" i="159"/>
  <c r="N68" i="159" s="1"/>
  <c r="M17" i="159"/>
  <c r="M68" i="159" s="1"/>
  <c r="L17" i="159"/>
  <c r="L68" i="159" s="1"/>
  <c r="K17" i="159"/>
  <c r="K68" i="159" s="1"/>
  <c r="J17" i="159"/>
  <c r="J68" i="159" s="1"/>
  <c r="I17" i="159"/>
  <c r="I68" i="159" s="1"/>
  <c r="W16" i="159"/>
  <c r="V16" i="159"/>
  <c r="U16" i="159"/>
  <c r="T16" i="159"/>
  <c r="S16" i="159"/>
  <c r="R16" i="159"/>
  <c r="Q16" i="159"/>
  <c r="P16" i="159"/>
  <c r="O16" i="159"/>
  <c r="N16" i="159"/>
  <c r="M16" i="159"/>
  <c r="L16" i="159"/>
  <c r="K16" i="159"/>
  <c r="J16" i="159"/>
  <c r="I16" i="159"/>
  <c r="W15" i="159"/>
  <c r="V15" i="159"/>
  <c r="U15" i="159"/>
  <c r="T15" i="159"/>
  <c r="S15" i="159"/>
  <c r="R15" i="159"/>
  <c r="Q15" i="159"/>
  <c r="P15" i="159"/>
  <c r="O15" i="159"/>
  <c r="N15" i="159"/>
  <c r="M15" i="159"/>
  <c r="L15" i="159"/>
  <c r="K15" i="159"/>
  <c r="J15" i="159"/>
  <c r="I15" i="159"/>
  <c r="W14" i="159"/>
  <c r="W65" i="159" s="1"/>
  <c r="V14" i="159"/>
  <c r="V65" i="159" s="1"/>
  <c r="U14" i="159"/>
  <c r="U65" i="159" s="1"/>
  <c r="T14" i="159"/>
  <c r="T65" i="159" s="1"/>
  <c r="S14" i="159"/>
  <c r="S65" i="159" s="1"/>
  <c r="R14" i="159"/>
  <c r="R65" i="159" s="1"/>
  <c r="Q14" i="159"/>
  <c r="Q65" i="159" s="1"/>
  <c r="P14" i="159"/>
  <c r="P65" i="159" s="1"/>
  <c r="O14" i="159"/>
  <c r="O65" i="159" s="1"/>
  <c r="N14" i="159"/>
  <c r="N65" i="159" s="1"/>
  <c r="M14" i="159"/>
  <c r="M65" i="159" s="1"/>
  <c r="L14" i="159"/>
  <c r="L65" i="159" s="1"/>
  <c r="K14" i="159"/>
  <c r="K65" i="159" s="1"/>
  <c r="J14" i="159"/>
  <c r="J65" i="159" s="1"/>
  <c r="I14" i="159"/>
  <c r="I65" i="159" s="1"/>
  <c r="W8" i="159"/>
  <c r="G81" i="160" s="1"/>
  <c r="G82" i="160" s="1"/>
  <c r="V8" i="159"/>
  <c r="G76" i="160" s="1"/>
  <c r="G77" i="160" s="1"/>
  <c r="U8" i="159"/>
  <c r="G71" i="160" s="1"/>
  <c r="G72" i="160" s="1"/>
  <c r="T8" i="159"/>
  <c r="G66" i="160" s="1"/>
  <c r="G67" i="160" s="1"/>
  <c r="S8" i="159"/>
  <c r="G61" i="160" s="1"/>
  <c r="R8" i="159"/>
  <c r="G56" i="160" s="1"/>
  <c r="G57" i="160" s="1"/>
  <c r="Q8" i="159"/>
  <c r="G51" i="160" s="1"/>
  <c r="G52" i="160" s="1"/>
  <c r="P8" i="159"/>
  <c r="G46" i="160" s="1"/>
  <c r="O8" i="159"/>
  <c r="G40" i="160" s="1"/>
  <c r="G41" i="160" s="1"/>
  <c r="N8" i="159"/>
  <c r="G34" i="160" s="1"/>
  <c r="G35" i="160" s="1"/>
  <c r="M8" i="159"/>
  <c r="G28" i="160" s="1"/>
  <c r="G29" i="160" s="1"/>
  <c r="L8" i="159"/>
  <c r="G22" i="160" s="1"/>
  <c r="G23" i="160" s="1"/>
  <c r="K8" i="159"/>
  <c r="G16" i="160" s="1"/>
  <c r="G17" i="160" s="1"/>
  <c r="J8" i="159"/>
  <c r="G10" i="160" s="1"/>
  <c r="G11" i="160" s="1"/>
  <c r="I8" i="159"/>
  <c r="G4" i="160" s="1"/>
  <c r="G5" i="160" s="1"/>
  <c r="W6" i="159"/>
  <c r="W57" i="159" s="1"/>
  <c r="V6" i="159"/>
  <c r="V57" i="159" s="1"/>
  <c r="D10" i="161" s="1"/>
  <c r="U6" i="159"/>
  <c r="U57" i="159" s="1"/>
  <c r="D9" i="161" s="1"/>
  <c r="T6" i="159"/>
  <c r="T57" i="159" s="1"/>
  <c r="D8" i="161" s="1"/>
  <c r="S6" i="159"/>
  <c r="S57" i="159" s="1"/>
  <c r="D7" i="161" s="1"/>
  <c r="R6" i="159"/>
  <c r="R57" i="159" s="1"/>
  <c r="D6" i="161" s="1"/>
  <c r="Q6" i="159"/>
  <c r="Q57" i="159" s="1"/>
  <c r="P6" i="159"/>
  <c r="P57" i="159" s="1"/>
  <c r="O6" i="159"/>
  <c r="O57" i="159" s="1"/>
  <c r="N6" i="159"/>
  <c r="N57" i="159" s="1"/>
  <c r="M6" i="159"/>
  <c r="M57" i="159" s="1"/>
  <c r="L6" i="159"/>
  <c r="L57" i="159" s="1"/>
  <c r="K6" i="159"/>
  <c r="K57" i="159" s="1"/>
  <c r="J6" i="159"/>
  <c r="J57" i="159" s="1"/>
  <c r="I6" i="159"/>
  <c r="I57" i="159" s="1"/>
  <c r="W4" i="159"/>
  <c r="W55" i="159" s="1"/>
  <c r="V4" i="159"/>
  <c r="V55" i="159" s="1"/>
  <c r="U4" i="159"/>
  <c r="U55" i="159" s="1"/>
  <c r="T4" i="159"/>
  <c r="T55" i="159" s="1"/>
  <c r="S4" i="159"/>
  <c r="S55" i="159" s="1"/>
  <c r="R4" i="159"/>
  <c r="R55" i="159" s="1"/>
  <c r="Q4" i="159"/>
  <c r="Q55" i="159" s="1"/>
  <c r="P4" i="159"/>
  <c r="P55" i="159" s="1"/>
  <c r="O55" i="159"/>
  <c r="N4" i="159"/>
  <c r="N55" i="159" s="1"/>
  <c r="M4" i="159"/>
  <c r="M55" i="159" s="1"/>
  <c r="L4" i="159"/>
  <c r="L55" i="159" s="1"/>
  <c r="K4" i="159"/>
  <c r="K55" i="159" s="1"/>
  <c r="J4" i="159"/>
  <c r="J55" i="159" s="1"/>
  <c r="I4" i="159"/>
  <c r="I55" i="159" s="1"/>
  <c r="Y26" i="157"/>
  <c r="T26" i="157"/>
  <c r="O26" i="157"/>
  <c r="Y24" i="157"/>
  <c r="T24" i="157"/>
  <c r="Y23" i="157"/>
  <c r="Y20" i="157"/>
  <c r="Y21" i="157" s="1"/>
  <c r="BN30" i="157"/>
  <c r="BI30" i="157"/>
  <c r="BD30" i="157"/>
  <c r="CM24" i="157"/>
  <c r="CH24" i="157"/>
  <c r="CC24" i="157"/>
  <c r="BX24" i="157"/>
  <c r="BS24" i="157"/>
  <c r="BN24" i="157"/>
  <c r="BD24" i="157"/>
  <c r="CM23" i="157"/>
  <c r="CH23" i="157"/>
  <c r="CC23" i="157"/>
  <c r="BX23" i="157"/>
  <c r="BS23" i="157"/>
  <c r="BN23" i="157"/>
  <c r="BD23" i="157"/>
  <c r="BN17" i="157"/>
  <c r="BN34" i="157" s="1"/>
  <c r="BD17" i="157"/>
  <c r="BN15" i="157"/>
  <c r="BN32" i="157" s="1"/>
  <c r="BD15" i="157"/>
  <c r="BN13" i="157"/>
  <c r="BI13" i="157"/>
  <c r="BD13" i="157"/>
  <c r="Y12" i="157"/>
  <c r="J12" i="157"/>
  <c r="Y11" i="157"/>
  <c r="T11" i="157"/>
  <c r="CM10" i="157"/>
  <c r="CH10" i="157"/>
  <c r="CC10" i="157"/>
  <c r="BX10" i="157"/>
  <c r="BS10" i="157"/>
  <c r="BN10" i="157"/>
  <c r="BD10" i="157"/>
  <c r="Y10" i="157"/>
  <c r="CR9" i="157"/>
  <c r="CM8" i="157"/>
  <c r="CM9" i="157" s="1"/>
  <c r="CH8" i="157"/>
  <c r="CC8" i="157"/>
  <c r="BX8" i="157"/>
  <c r="BX9" i="157" s="1"/>
  <c r="BS8" i="157"/>
  <c r="BS9" i="157" s="1"/>
  <c r="BN8" i="157"/>
  <c r="BD8" i="157"/>
  <c r="CM7" i="157"/>
  <c r="CH7" i="157"/>
  <c r="CC7" i="157"/>
  <c r="BX7" i="157"/>
  <c r="BS7" i="157"/>
  <c r="BN7" i="157"/>
  <c r="BD7" i="157"/>
  <c r="Y7" i="157"/>
  <c r="CM6" i="157"/>
  <c r="CH6" i="157"/>
  <c r="CC6" i="157"/>
  <c r="BX6" i="157"/>
  <c r="BS6" i="157"/>
  <c r="BN6" i="157"/>
  <c r="BD6" i="157"/>
  <c r="AI52" i="156"/>
  <c r="AD52" i="156"/>
  <c r="C120" i="167" s="1"/>
  <c r="Y52" i="156"/>
  <c r="T52" i="156"/>
  <c r="O52" i="156"/>
  <c r="J52" i="156"/>
  <c r="E52" i="156"/>
  <c r="P89" i="156"/>
  <c r="L89" i="156"/>
  <c r="H89" i="156"/>
  <c r="AU38" i="156"/>
  <c r="AP38" i="156"/>
  <c r="AK38" i="156"/>
  <c r="AF38" i="156"/>
  <c r="AA38" i="156"/>
  <c r="V38" i="156"/>
  <c r="Q38" i="156"/>
  <c r="L38" i="156"/>
  <c r="AU21" i="156"/>
  <c r="AP21" i="156"/>
  <c r="AK21" i="156"/>
  <c r="AF21" i="156"/>
  <c r="AA21" i="156"/>
  <c r="V21" i="156"/>
  <c r="L21" i="156"/>
  <c r="K236" i="162" s="1"/>
  <c r="H10" i="166" l="1"/>
  <c r="H11" i="166" s="1"/>
  <c r="M21" i="167"/>
  <c r="K21" i="167" s="1"/>
  <c r="J29" i="164"/>
  <c r="P29" i="164"/>
  <c r="J19" i="164"/>
  <c r="P24" i="164"/>
  <c r="J22" i="164"/>
  <c r="V23" i="164"/>
  <c r="V24" i="164"/>
  <c r="P26" i="164"/>
  <c r="P28" i="164"/>
  <c r="L23" i="164"/>
  <c r="N24" i="164"/>
  <c r="N25" i="164"/>
  <c r="P27" i="164"/>
  <c r="N23" i="164"/>
  <c r="P25" i="164"/>
  <c r="J26" i="164"/>
  <c r="R26" i="164"/>
  <c r="J27" i="164"/>
  <c r="R27" i="164"/>
  <c r="J28" i="164"/>
  <c r="R28" i="164"/>
  <c r="R29" i="164"/>
  <c r="P23" i="164"/>
  <c r="J24" i="164"/>
  <c r="R24" i="164"/>
  <c r="J25" i="164"/>
  <c r="R25" i="164"/>
  <c r="L26" i="164"/>
  <c r="T26" i="164"/>
  <c r="L27" i="164"/>
  <c r="T27" i="164"/>
  <c r="L28" i="164"/>
  <c r="T28" i="164"/>
  <c r="L29" i="164"/>
  <c r="T29" i="164"/>
  <c r="J20" i="164"/>
  <c r="J71" i="164" s="1"/>
  <c r="J23" i="164"/>
  <c r="T23" i="164"/>
  <c r="L24" i="164"/>
  <c r="T24" i="164"/>
  <c r="L25" i="164"/>
  <c r="T25" i="164"/>
  <c r="N26" i="164"/>
  <c r="V26" i="164"/>
  <c r="N27" i="164"/>
  <c r="V27" i="164"/>
  <c r="N28" i="164"/>
  <c r="V28" i="164"/>
  <c r="N29" i="164"/>
  <c r="V29" i="164"/>
  <c r="R19" i="164"/>
  <c r="R20" i="164"/>
  <c r="R71" i="164" s="1"/>
  <c r="R22" i="164"/>
  <c r="P19" i="164"/>
  <c r="P20" i="164"/>
  <c r="P71" i="164" s="1"/>
  <c r="P22" i="164"/>
  <c r="V25" i="164"/>
  <c r="N19" i="164"/>
  <c r="V19" i="164"/>
  <c r="N20" i="164"/>
  <c r="N71" i="164" s="1"/>
  <c r="V20" i="164"/>
  <c r="N22" i="164"/>
  <c r="V22" i="164"/>
  <c r="AD86" i="156"/>
  <c r="G19" i="165" s="1"/>
  <c r="L19" i="164"/>
  <c r="T19" i="164"/>
  <c r="L20" i="164"/>
  <c r="L71" i="164" s="1"/>
  <c r="T20" i="164"/>
  <c r="L22" i="164"/>
  <c r="T22" i="164"/>
  <c r="P19" i="159"/>
  <c r="P20" i="159"/>
  <c r="P71" i="159" s="1"/>
  <c r="P22" i="159"/>
  <c r="P23" i="159"/>
  <c r="P24" i="159"/>
  <c r="P25" i="159"/>
  <c r="P26" i="159"/>
  <c r="P27" i="159"/>
  <c r="P28" i="159"/>
  <c r="P29" i="159"/>
  <c r="D5" i="161"/>
  <c r="T19" i="159"/>
  <c r="T20" i="159"/>
  <c r="T22" i="159"/>
  <c r="T23" i="159"/>
  <c r="T24" i="159"/>
  <c r="T25" i="159"/>
  <c r="T26" i="159"/>
  <c r="T27" i="159"/>
  <c r="T28" i="159"/>
  <c r="T29" i="159"/>
  <c r="R23" i="164"/>
  <c r="L19" i="159"/>
  <c r="L20" i="159"/>
  <c r="L71" i="159" s="1"/>
  <c r="L22" i="159"/>
  <c r="L23" i="159"/>
  <c r="L24" i="159"/>
  <c r="L25" i="159"/>
  <c r="L26" i="159"/>
  <c r="L27" i="159"/>
  <c r="L28" i="159"/>
  <c r="L29" i="159"/>
  <c r="I236" i="162"/>
  <c r="BS17" i="157"/>
  <c r="CR10" i="157"/>
  <c r="BN16" i="157"/>
  <c r="BN33" i="157" s="1"/>
  <c r="K166" i="167"/>
  <c r="I166" i="167" s="1"/>
  <c r="K237" i="162"/>
  <c r="I237" i="162" s="1"/>
  <c r="K171" i="167"/>
  <c r="I171" i="167" s="1"/>
  <c r="K242" i="162"/>
  <c r="I242" i="162" s="1"/>
  <c r="C3" i="167"/>
  <c r="C3" i="162"/>
  <c r="K169" i="167"/>
  <c r="I169" i="167" s="1"/>
  <c r="K240" i="162"/>
  <c r="I240" i="162" s="1"/>
  <c r="K173" i="167"/>
  <c r="I173" i="167" s="1"/>
  <c r="K227" i="162"/>
  <c r="I227" i="162" s="1"/>
  <c r="K244" i="162"/>
  <c r="I244" i="162" s="1"/>
  <c r="K177" i="167"/>
  <c r="I177" i="167" s="1"/>
  <c r="K248" i="162"/>
  <c r="I248" i="162" s="1"/>
  <c r="C77" i="167"/>
  <c r="C65" i="162"/>
  <c r="C134" i="167"/>
  <c r="C181" i="162"/>
  <c r="BN9" i="157"/>
  <c r="CH9" i="157"/>
  <c r="BD16" i="157"/>
  <c r="G62" i="160"/>
  <c r="K9" i="159"/>
  <c r="K10" i="159" s="1"/>
  <c r="O9" i="159"/>
  <c r="O10" i="159" s="1"/>
  <c r="S9" i="159"/>
  <c r="S10" i="159" s="1"/>
  <c r="W9" i="159"/>
  <c r="W10" i="159" s="1"/>
  <c r="G18" i="160"/>
  <c r="G19" i="160" s="1"/>
  <c r="K66" i="159"/>
  <c r="H18" i="160" s="1"/>
  <c r="H19" i="160" s="1"/>
  <c r="G42" i="160"/>
  <c r="G43" i="160" s="1"/>
  <c r="O66" i="159"/>
  <c r="H42" i="160" s="1"/>
  <c r="H43" i="160" s="1"/>
  <c r="G63" i="160"/>
  <c r="S66" i="159"/>
  <c r="H63" i="160" s="1"/>
  <c r="G83" i="160"/>
  <c r="W66" i="159"/>
  <c r="H83" i="160" s="1"/>
  <c r="G20" i="160"/>
  <c r="K67" i="159"/>
  <c r="H20" i="160" s="1"/>
  <c r="G44" i="160"/>
  <c r="O67" i="159"/>
  <c r="H44" i="160" s="1"/>
  <c r="G64" i="160"/>
  <c r="S67" i="159"/>
  <c r="H64" i="160" s="1"/>
  <c r="G84" i="160"/>
  <c r="W67" i="159"/>
  <c r="H84" i="160" s="1"/>
  <c r="G21" i="160"/>
  <c r="K69" i="159"/>
  <c r="H21" i="160" s="1"/>
  <c r="G45" i="160"/>
  <c r="O69" i="159"/>
  <c r="H45" i="160" s="1"/>
  <c r="G65" i="160"/>
  <c r="S69" i="159"/>
  <c r="H65" i="160" s="1"/>
  <c r="G85" i="160"/>
  <c r="W69" i="159"/>
  <c r="H85" i="160" s="1"/>
  <c r="K19" i="159"/>
  <c r="O19" i="159"/>
  <c r="S19" i="159"/>
  <c r="W19" i="159"/>
  <c r="K20" i="159"/>
  <c r="K71" i="159" s="1"/>
  <c r="O20" i="159"/>
  <c r="O71" i="159" s="1"/>
  <c r="S20" i="159"/>
  <c r="S71" i="159" s="1"/>
  <c r="W20" i="159"/>
  <c r="K22" i="159"/>
  <c r="O22" i="159"/>
  <c r="S22" i="159"/>
  <c r="W22" i="159"/>
  <c r="K23" i="159"/>
  <c r="O23" i="159"/>
  <c r="S23" i="159"/>
  <c r="W23" i="159"/>
  <c r="K24" i="159"/>
  <c r="O24" i="159"/>
  <c r="S24" i="159"/>
  <c r="W24" i="159"/>
  <c r="K25" i="159"/>
  <c r="O25" i="159"/>
  <c r="S25" i="159"/>
  <c r="W25" i="159"/>
  <c r="K26" i="159"/>
  <c r="O26" i="159"/>
  <c r="S26" i="159"/>
  <c r="W26" i="159"/>
  <c r="K27" i="159"/>
  <c r="O27" i="159"/>
  <c r="S27" i="159"/>
  <c r="W27" i="159"/>
  <c r="K28" i="159"/>
  <c r="O28" i="159"/>
  <c r="S28" i="159"/>
  <c r="W28" i="159"/>
  <c r="K29" i="159"/>
  <c r="O29" i="159"/>
  <c r="S29" i="159"/>
  <c r="W29" i="159"/>
  <c r="K170" i="167"/>
  <c r="I170" i="167" s="1"/>
  <c r="K241" i="162"/>
  <c r="I241" i="162" s="1"/>
  <c r="C91" i="167"/>
  <c r="C94" i="162"/>
  <c r="K221" i="162"/>
  <c r="I221" i="162" s="1"/>
  <c r="G47" i="160"/>
  <c r="X8" i="159"/>
  <c r="L9" i="159"/>
  <c r="L10" i="159" s="1"/>
  <c r="P9" i="159"/>
  <c r="P10" i="159" s="1"/>
  <c r="T9" i="159"/>
  <c r="T10" i="159" s="1"/>
  <c r="G24" i="160"/>
  <c r="G25" i="160" s="1"/>
  <c r="L66" i="159"/>
  <c r="H24" i="160" s="1"/>
  <c r="H25" i="160" s="1"/>
  <c r="G48" i="160"/>
  <c r="P66" i="159"/>
  <c r="H48" i="160" s="1"/>
  <c r="G68" i="160"/>
  <c r="T66" i="159"/>
  <c r="H68" i="160" s="1"/>
  <c r="G26" i="160"/>
  <c r="L67" i="159"/>
  <c r="H26" i="160" s="1"/>
  <c r="G49" i="160"/>
  <c r="P67" i="159"/>
  <c r="H49" i="160" s="1"/>
  <c r="G69" i="160"/>
  <c r="T67" i="159"/>
  <c r="H69" i="160" s="1"/>
  <c r="G27" i="160"/>
  <c r="L69" i="159"/>
  <c r="H27" i="160" s="1"/>
  <c r="G50" i="160"/>
  <c r="P69" i="159"/>
  <c r="H50" i="160" s="1"/>
  <c r="G70" i="160"/>
  <c r="T69" i="159"/>
  <c r="H70" i="160" s="1"/>
  <c r="X72" i="159"/>
  <c r="T70" i="159"/>
  <c r="T72" i="159" s="1"/>
  <c r="P70" i="159"/>
  <c r="L70" i="159"/>
  <c r="W70" i="159"/>
  <c r="W72" i="159" s="1"/>
  <c r="S70" i="159"/>
  <c r="O70" i="159"/>
  <c r="K70" i="159"/>
  <c r="V70" i="159"/>
  <c r="V72" i="159" s="1"/>
  <c r="R70" i="159"/>
  <c r="N70" i="159"/>
  <c r="J70" i="159"/>
  <c r="U70" i="159"/>
  <c r="U72" i="159" s="1"/>
  <c r="Q70" i="159"/>
  <c r="M70" i="159"/>
  <c r="I70" i="159"/>
  <c r="X21" i="159"/>
  <c r="T73" i="159"/>
  <c r="P73" i="159"/>
  <c r="L73" i="159"/>
  <c r="W73" i="159"/>
  <c r="S73" i="159"/>
  <c r="O73" i="159"/>
  <c r="K73" i="159"/>
  <c r="V73" i="159"/>
  <c r="R73" i="159"/>
  <c r="N73" i="159"/>
  <c r="J73" i="159"/>
  <c r="U73" i="159"/>
  <c r="Q73" i="159"/>
  <c r="M73" i="159"/>
  <c r="I73" i="159"/>
  <c r="T74" i="159"/>
  <c r="P74" i="159"/>
  <c r="L74" i="159"/>
  <c r="W74" i="159"/>
  <c r="S74" i="159"/>
  <c r="O74" i="159"/>
  <c r="K74" i="159"/>
  <c r="V74" i="159"/>
  <c r="R74" i="159"/>
  <c r="N74" i="159"/>
  <c r="J74" i="159"/>
  <c r="U74" i="159"/>
  <c r="Q74" i="159"/>
  <c r="M74" i="159"/>
  <c r="I74" i="159"/>
  <c r="T75" i="159"/>
  <c r="P75" i="159"/>
  <c r="L75" i="159"/>
  <c r="W75" i="159"/>
  <c r="S75" i="159"/>
  <c r="O75" i="159"/>
  <c r="K75" i="159"/>
  <c r="V75" i="159"/>
  <c r="R75" i="159"/>
  <c r="N75" i="159"/>
  <c r="J75" i="159"/>
  <c r="U75" i="159"/>
  <c r="Q75" i="159"/>
  <c r="M75" i="159"/>
  <c r="I75" i="159"/>
  <c r="T76" i="159"/>
  <c r="P76" i="159"/>
  <c r="L76" i="159"/>
  <c r="W76" i="159"/>
  <c r="S76" i="159"/>
  <c r="O76" i="159"/>
  <c r="K76" i="159"/>
  <c r="V76" i="159"/>
  <c r="R76" i="159"/>
  <c r="N76" i="159"/>
  <c r="J76" i="159"/>
  <c r="U76" i="159"/>
  <c r="Q76" i="159"/>
  <c r="M76" i="159"/>
  <c r="I76" i="159"/>
  <c r="T77" i="159"/>
  <c r="P77" i="159"/>
  <c r="L77" i="159"/>
  <c r="W77" i="159"/>
  <c r="S77" i="159"/>
  <c r="O77" i="159"/>
  <c r="K77" i="159"/>
  <c r="V77" i="159"/>
  <c r="R77" i="159"/>
  <c r="N77" i="159"/>
  <c r="J77" i="159"/>
  <c r="U77" i="159"/>
  <c r="Q77" i="159"/>
  <c r="M77" i="159"/>
  <c r="I77" i="159"/>
  <c r="T78" i="159"/>
  <c r="P78" i="159"/>
  <c r="L78" i="159"/>
  <c r="W78" i="159"/>
  <c r="S78" i="159"/>
  <c r="O78" i="159"/>
  <c r="K78" i="159"/>
  <c r="V78" i="159"/>
  <c r="R78" i="159"/>
  <c r="N78" i="159"/>
  <c r="J78" i="159"/>
  <c r="U78" i="159"/>
  <c r="Q78" i="159"/>
  <c r="M78" i="159"/>
  <c r="I78" i="159"/>
  <c r="T79" i="159"/>
  <c r="P79" i="159"/>
  <c r="L79" i="159"/>
  <c r="W79" i="159"/>
  <c r="S79" i="159"/>
  <c r="O79" i="159"/>
  <c r="K79" i="159"/>
  <c r="V79" i="159"/>
  <c r="R79" i="159"/>
  <c r="N79" i="159"/>
  <c r="J79" i="159"/>
  <c r="U79" i="159"/>
  <c r="Q79" i="159"/>
  <c r="M79" i="159"/>
  <c r="I79" i="159"/>
  <c r="T80" i="159"/>
  <c r="P80" i="159"/>
  <c r="L80" i="159"/>
  <c r="W80" i="159"/>
  <c r="S80" i="159"/>
  <c r="O80" i="159"/>
  <c r="K80" i="159"/>
  <c r="V80" i="159"/>
  <c r="R80" i="159"/>
  <c r="N80" i="159"/>
  <c r="J80" i="159"/>
  <c r="U80" i="159"/>
  <c r="Q80" i="159"/>
  <c r="M80" i="159"/>
  <c r="I80" i="159"/>
  <c r="K174" i="167"/>
  <c r="I174" i="167" s="1"/>
  <c r="K245" i="162"/>
  <c r="I245" i="162" s="1"/>
  <c r="K228" i="162"/>
  <c r="I228" i="162" s="1"/>
  <c r="K167" i="167"/>
  <c r="I167" i="167" s="1"/>
  <c r="K238" i="162"/>
  <c r="I238" i="162" s="1"/>
  <c r="K179" i="167"/>
  <c r="I179" i="167" s="1"/>
  <c r="K250" i="162"/>
  <c r="I250" i="162" s="1"/>
  <c r="C106" i="167"/>
  <c r="C123" i="162"/>
  <c r="I9" i="159"/>
  <c r="I10" i="159" s="1"/>
  <c r="M9" i="159"/>
  <c r="M10" i="159" s="1"/>
  <c r="Q9" i="159"/>
  <c r="Q10" i="159" s="1"/>
  <c r="U9" i="159"/>
  <c r="U10" i="159" s="1"/>
  <c r="G6" i="160"/>
  <c r="G7" i="160" s="1"/>
  <c r="I66" i="159"/>
  <c r="H6" i="160" s="1"/>
  <c r="G30" i="160"/>
  <c r="G31" i="160" s="1"/>
  <c r="M66" i="159"/>
  <c r="H30" i="160" s="1"/>
  <c r="H31" i="160" s="1"/>
  <c r="G53" i="160"/>
  <c r="Q66" i="159"/>
  <c r="H53" i="160" s="1"/>
  <c r="G73" i="160"/>
  <c r="U66" i="159"/>
  <c r="H73" i="160" s="1"/>
  <c r="G8" i="160"/>
  <c r="I67" i="159"/>
  <c r="H8" i="160" s="1"/>
  <c r="G32" i="160"/>
  <c r="M67" i="159"/>
  <c r="H32" i="160" s="1"/>
  <c r="G54" i="160"/>
  <c r="Q67" i="159"/>
  <c r="H54" i="160" s="1"/>
  <c r="G74" i="160"/>
  <c r="U67" i="159"/>
  <c r="H74" i="160" s="1"/>
  <c r="G9" i="160"/>
  <c r="I69" i="159"/>
  <c r="H9" i="160" s="1"/>
  <c r="G33" i="160"/>
  <c r="M69" i="159"/>
  <c r="H33" i="160" s="1"/>
  <c r="G55" i="160"/>
  <c r="Q69" i="159"/>
  <c r="H55" i="160" s="1"/>
  <c r="G75" i="160"/>
  <c r="U69" i="159"/>
  <c r="H75" i="160" s="1"/>
  <c r="I19" i="159"/>
  <c r="M19" i="159"/>
  <c r="Q19" i="159"/>
  <c r="U19" i="159"/>
  <c r="I20" i="159"/>
  <c r="I71" i="159" s="1"/>
  <c r="M20" i="159"/>
  <c r="M71" i="159" s="1"/>
  <c r="Q20" i="159"/>
  <c r="Q71" i="159" s="1"/>
  <c r="U20" i="159"/>
  <c r="I22" i="159"/>
  <c r="M22" i="159"/>
  <c r="Q22" i="159"/>
  <c r="U22" i="159"/>
  <c r="I23" i="159"/>
  <c r="M23" i="159"/>
  <c r="Q23" i="159"/>
  <c r="U23" i="159"/>
  <c r="I24" i="159"/>
  <c r="M24" i="159"/>
  <c r="Q24" i="159"/>
  <c r="U24" i="159"/>
  <c r="I25" i="159"/>
  <c r="M25" i="159"/>
  <c r="Q25" i="159"/>
  <c r="U25" i="159"/>
  <c r="I26" i="159"/>
  <c r="M26" i="159"/>
  <c r="Q26" i="159"/>
  <c r="U26" i="159"/>
  <c r="I27" i="159"/>
  <c r="M27" i="159"/>
  <c r="Q27" i="159"/>
  <c r="U27" i="159"/>
  <c r="I28" i="159"/>
  <c r="M28" i="159"/>
  <c r="Q28" i="159"/>
  <c r="U28" i="159"/>
  <c r="I29" i="159"/>
  <c r="M29" i="159"/>
  <c r="Q29" i="159"/>
  <c r="U29" i="159"/>
  <c r="K178" i="167"/>
  <c r="I178" i="167" s="1"/>
  <c r="K249" i="162"/>
  <c r="I249" i="162" s="1"/>
  <c r="K175" i="167"/>
  <c r="I175" i="167" s="1"/>
  <c r="H200" i="167" s="1"/>
  <c r="T25" i="157" s="1"/>
  <c r="K246" i="162"/>
  <c r="I246" i="162" s="1"/>
  <c r="H261" i="162" s="1"/>
  <c r="T13" i="157" s="1"/>
  <c r="K229" i="162"/>
  <c r="I229" i="162" s="1"/>
  <c r="H260" i="162" s="1"/>
  <c r="T12" i="157" s="1"/>
  <c r="K168" i="167"/>
  <c r="I168" i="167" s="1"/>
  <c r="K239" i="162"/>
  <c r="I239" i="162" s="1"/>
  <c r="K172" i="167"/>
  <c r="I172" i="167" s="1"/>
  <c r="K226" i="162"/>
  <c r="I226" i="162" s="1"/>
  <c r="K243" i="162"/>
  <c r="I243" i="162" s="1"/>
  <c r="K176" i="167"/>
  <c r="I176" i="167" s="1"/>
  <c r="K247" i="162"/>
  <c r="I247" i="162" s="1"/>
  <c r="C62" i="167"/>
  <c r="C36" i="162"/>
  <c r="C152" i="162"/>
  <c r="BD9" i="157"/>
  <c r="CC9" i="157"/>
  <c r="BS15" i="157"/>
  <c r="J9" i="159"/>
  <c r="J10" i="159" s="1"/>
  <c r="N9" i="159"/>
  <c r="N10" i="159" s="1"/>
  <c r="R9" i="159"/>
  <c r="R10" i="159" s="1"/>
  <c r="V9" i="159"/>
  <c r="V10" i="159" s="1"/>
  <c r="G12" i="160"/>
  <c r="G13" i="160" s="1"/>
  <c r="J66" i="159"/>
  <c r="H12" i="160" s="1"/>
  <c r="H13" i="160" s="1"/>
  <c r="G36" i="160"/>
  <c r="G37" i="160" s="1"/>
  <c r="N66" i="159"/>
  <c r="H36" i="160" s="1"/>
  <c r="H37" i="160" s="1"/>
  <c r="G58" i="160"/>
  <c r="R66" i="159"/>
  <c r="H58" i="160" s="1"/>
  <c r="G78" i="160"/>
  <c r="V66" i="159"/>
  <c r="H78" i="160" s="1"/>
  <c r="G14" i="160"/>
  <c r="J67" i="159"/>
  <c r="H14" i="160" s="1"/>
  <c r="G38" i="160"/>
  <c r="N67" i="159"/>
  <c r="H38" i="160" s="1"/>
  <c r="G59" i="160"/>
  <c r="R67" i="159"/>
  <c r="H59" i="160" s="1"/>
  <c r="G79" i="160"/>
  <c r="V67" i="159"/>
  <c r="H79" i="160" s="1"/>
  <c r="G15" i="160"/>
  <c r="J69" i="159"/>
  <c r="H15" i="160" s="1"/>
  <c r="G39" i="160"/>
  <c r="N69" i="159"/>
  <c r="H39" i="160" s="1"/>
  <c r="G60" i="160"/>
  <c r="R69" i="159"/>
  <c r="H60" i="160" s="1"/>
  <c r="G80" i="160"/>
  <c r="V69" i="159"/>
  <c r="H80" i="160" s="1"/>
  <c r="J19" i="159"/>
  <c r="N19" i="159"/>
  <c r="R19" i="159"/>
  <c r="V19" i="159"/>
  <c r="J20" i="159"/>
  <c r="J71" i="159" s="1"/>
  <c r="N20" i="159"/>
  <c r="N71" i="159" s="1"/>
  <c r="R20" i="159"/>
  <c r="R71" i="159" s="1"/>
  <c r="V20" i="159"/>
  <c r="J22" i="159"/>
  <c r="N22" i="159"/>
  <c r="R22" i="159"/>
  <c r="V22" i="159"/>
  <c r="J23" i="159"/>
  <c r="N23" i="159"/>
  <c r="R23" i="159"/>
  <c r="V23" i="159"/>
  <c r="J24" i="159"/>
  <c r="N24" i="159"/>
  <c r="R24" i="159"/>
  <c r="V24" i="159"/>
  <c r="J25" i="159"/>
  <c r="N25" i="159"/>
  <c r="R25" i="159"/>
  <c r="V25" i="159"/>
  <c r="J26" i="159"/>
  <c r="N26" i="159"/>
  <c r="R26" i="159"/>
  <c r="V26" i="159"/>
  <c r="J27" i="159"/>
  <c r="N27" i="159"/>
  <c r="R27" i="159"/>
  <c r="V27" i="159"/>
  <c r="J28" i="159"/>
  <c r="N28" i="159"/>
  <c r="R28" i="159"/>
  <c r="V28" i="159"/>
  <c r="J29" i="159"/>
  <c r="N29" i="159"/>
  <c r="R29" i="159"/>
  <c r="V29" i="159"/>
  <c r="H4" i="160"/>
  <c r="H5" i="160" s="1"/>
  <c r="G4" i="161"/>
  <c r="G9" i="161"/>
  <c r="H71" i="160"/>
  <c r="H72" i="160" s="1"/>
  <c r="I60" i="159"/>
  <c r="I61" i="159" s="1"/>
  <c r="M60" i="159"/>
  <c r="M61" i="159" s="1"/>
  <c r="Q60" i="159"/>
  <c r="Q61" i="159" s="1"/>
  <c r="U60" i="159"/>
  <c r="U61" i="159" s="1"/>
  <c r="G6" i="161"/>
  <c r="H56" i="160"/>
  <c r="H57" i="160" s="1"/>
  <c r="G10" i="161"/>
  <c r="H76" i="160"/>
  <c r="H77" i="160" s="1"/>
  <c r="J60" i="159"/>
  <c r="J61" i="159" s="1"/>
  <c r="N60" i="159"/>
  <c r="N61" i="159" s="1"/>
  <c r="R60" i="159"/>
  <c r="R61" i="159" s="1"/>
  <c r="V60" i="159"/>
  <c r="V61" i="159" s="1"/>
  <c r="G7" i="161"/>
  <c r="H61" i="160"/>
  <c r="K60" i="159"/>
  <c r="K61" i="159" s="1"/>
  <c r="O60" i="159"/>
  <c r="O61" i="159" s="1"/>
  <c r="S60" i="159"/>
  <c r="S61" i="159" s="1"/>
  <c r="W60" i="159"/>
  <c r="W61" i="159" s="1"/>
  <c r="G5" i="161"/>
  <c r="H46" i="160"/>
  <c r="G8" i="161"/>
  <c r="H66" i="160"/>
  <c r="H67" i="160" s="1"/>
  <c r="X59" i="159"/>
  <c r="L60" i="159"/>
  <c r="L61" i="159" s="1"/>
  <c r="P60" i="159"/>
  <c r="P61" i="159" s="1"/>
  <c r="T60" i="159"/>
  <c r="T61" i="159" s="1"/>
  <c r="D5" i="165"/>
  <c r="I9" i="164"/>
  <c r="I10" i="164" s="1"/>
  <c r="M9" i="164"/>
  <c r="M10" i="164" s="1"/>
  <c r="Q9" i="164"/>
  <c r="Q10" i="164" s="1"/>
  <c r="U9" i="164"/>
  <c r="U10" i="164" s="1"/>
  <c r="G6" i="166"/>
  <c r="G7" i="166" s="1"/>
  <c r="I66" i="164"/>
  <c r="H6" i="166" s="1"/>
  <c r="G30" i="166"/>
  <c r="G31" i="166" s="1"/>
  <c r="M66" i="164"/>
  <c r="H30" i="166" s="1"/>
  <c r="H31" i="166" s="1"/>
  <c r="G53" i="166"/>
  <c r="Q66" i="164"/>
  <c r="H53" i="166" s="1"/>
  <c r="G73" i="166"/>
  <c r="U66" i="164"/>
  <c r="H73" i="166" s="1"/>
  <c r="G8" i="166"/>
  <c r="K40" i="167" s="1"/>
  <c r="I40" i="167" s="1"/>
  <c r="I67" i="164"/>
  <c r="H8" i="166" s="1"/>
  <c r="G32" i="166"/>
  <c r="M67" i="164"/>
  <c r="H32" i="166" s="1"/>
  <c r="G54" i="166"/>
  <c r="Q67" i="164"/>
  <c r="H54" i="166" s="1"/>
  <c r="G74" i="166"/>
  <c r="U67" i="164"/>
  <c r="H74" i="166" s="1"/>
  <c r="G9" i="166"/>
  <c r="I69" i="164"/>
  <c r="H9" i="166" s="1"/>
  <c r="G33" i="166"/>
  <c r="M69" i="164"/>
  <c r="H33" i="166" s="1"/>
  <c r="G55" i="166"/>
  <c r="Q69" i="164"/>
  <c r="H55" i="166" s="1"/>
  <c r="G75" i="166"/>
  <c r="U69" i="164"/>
  <c r="H75" i="166" s="1"/>
  <c r="I19" i="164"/>
  <c r="M19" i="164"/>
  <c r="Q19" i="164"/>
  <c r="U19" i="164"/>
  <c r="I20" i="164"/>
  <c r="I71" i="164" s="1"/>
  <c r="M20" i="164"/>
  <c r="M71" i="164" s="1"/>
  <c r="Q20" i="164"/>
  <c r="Q71" i="164" s="1"/>
  <c r="U20" i="164"/>
  <c r="I22" i="164"/>
  <c r="M22" i="164"/>
  <c r="Q22" i="164"/>
  <c r="U22" i="164"/>
  <c r="I23" i="164"/>
  <c r="M23" i="164"/>
  <c r="Q23" i="164"/>
  <c r="U23" i="164"/>
  <c r="I24" i="164"/>
  <c r="M24" i="164"/>
  <c r="Q24" i="164"/>
  <c r="U24" i="164"/>
  <c r="I25" i="164"/>
  <c r="M25" i="164"/>
  <c r="Q25" i="164"/>
  <c r="U25" i="164"/>
  <c r="I26" i="164"/>
  <c r="M26" i="164"/>
  <c r="Q26" i="164"/>
  <c r="U26" i="164"/>
  <c r="I27" i="164"/>
  <c r="M27" i="164"/>
  <c r="Q27" i="164"/>
  <c r="U27" i="164"/>
  <c r="I28" i="164"/>
  <c r="M28" i="164"/>
  <c r="Q28" i="164"/>
  <c r="U28" i="164"/>
  <c r="I29" i="164"/>
  <c r="M29" i="164"/>
  <c r="Q29" i="164"/>
  <c r="U29" i="164"/>
  <c r="J9" i="164"/>
  <c r="J10" i="164" s="1"/>
  <c r="N9" i="164"/>
  <c r="N10" i="164" s="1"/>
  <c r="R9" i="164"/>
  <c r="R10" i="164" s="1"/>
  <c r="V9" i="164"/>
  <c r="V10" i="164" s="1"/>
  <c r="G12" i="166"/>
  <c r="G13" i="166" s="1"/>
  <c r="J66" i="164"/>
  <c r="H12" i="166" s="1"/>
  <c r="H13" i="166" s="1"/>
  <c r="G36" i="166"/>
  <c r="G37" i="166" s="1"/>
  <c r="N66" i="164"/>
  <c r="H36" i="166" s="1"/>
  <c r="H37" i="166" s="1"/>
  <c r="G58" i="166"/>
  <c r="R66" i="164"/>
  <c r="H58" i="166" s="1"/>
  <c r="G78" i="166"/>
  <c r="V66" i="164"/>
  <c r="H78" i="166" s="1"/>
  <c r="G14" i="166"/>
  <c r="J67" i="164"/>
  <c r="H14" i="166" s="1"/>
  <c r="G38" i="166"/>
  <c r="N67" i="164"/>
  <c r="H38" i="166" s="1"/>
  <c r="G59" i="166"/>
  <c r="R67" i="164"/>
  <c r="H59" i="166" s="1"/>
  <c r="G79" i="166"/>
  <c r="V67" i="164"/>
  <c r="H79" i="166" s="1"/>
  <c r="G15" i="166"/>
  <c r="J69" i="164"/>
  <c r="H15" i="166" s="1"/>
  <c r="G39" i="166"/>
  <c r="N69" i="164"/>
  <c r="H39" i="166" s="1"/>
  <c r="G60" i="166"/>
  <c r="R69" i="164"/>
  <c r="H60" i="166" s="1"/>
  <c r="G80" i="166"/>
  <c r="V69" i="164"/>
  <c r="H80" i="166" s="1"/>
  <c r="K52" i="167"/>
  <c r="G62" i="166"/>
  <c r="K9" i="164"/>
  <c r="K10" i="164" s="1"/>
  <c r="O9" i="164"/>
  <c r="O10" i="164" s="1"/>
  <c r="S9" i="164"/>
  <c r="S10" i="164" s="1"/>
  <c r="W9" i="164"/>
  <c r="W10" i="164" s="1"/>
  <c r="G18" i="166"/>
  <c r="G19" i="166" s="1"/>
  <c r="K66" i="164"/>
  <c r="H18" i="166" s="1"/>
  <c r="H19" i="166" s="1"/>
  <c r="G42" i="166"/>
  <c r="G43" i="166" s="1"/>
  <c r="O66" i="164"/>
  <c r="H42" i="166" s="1"/>
  <c r="H43" i="166" s="1"/>
  <c r="G63" i="166"/>
  <c r="S66" i="164"/>
  <c r="H63" i="166" s="1"/>
  <c r="G83" i="166"/>
  <c r="W66" i="164"/>
  <c r="H83" i="166" s="1"/>
  <c r="G20" i="166"/>
  <c r="K67" i="164"/>
  <c r="H20" i="166" s="1"/>
  <c r="G44" i="166"/>
  <c r="O67" i="164"/>
  <c r="H44" i="166" s="1"/>
  <c r="G64" i="166"/>
  <c r="S67" i="164"/>
  <c r="H64" i="166" s="1"/>
  <c r="G84" i="166"/>
  <c r="W67" i="164"/>
  <c r="H84" i="166" s="1"/>
  <c r="G21" i="166"/>
  <c r="K69" i="164"/>
  <c r="H21" i="166" s="1"/>
  <c r="G45" i="166"/>
  <c r="O69" i="164"/>
  <c r="H45" i="166" s="1"/>
  <c r="G65" i="166"/>
  <c r="S69" i="164"/>
  <c r="H65" i="166" s="1"/>
  <c r="G85" i="166"/>
  <c r="W69" i="164"/>
  <c r="H85" i="166" s="1"/>
  <c r="K19" i="164"/>
  <c r="O19" i="164"/>
  <c r="S19" i="164"/>
  <c r="W19" i="164"/>
  <c r="K20" i="164"/>
  <c r="K71" i="164" s="1"/>
  <c r="O20" i="164"/>
  <c r="O71" i="164" s="1"/>
  <c r="S20" i="164"/>
  <c r="S71" i="164" s="1"/>
  <c r="W20" i="164"/>
  <c r="K22" i="164"/>
  <c r="O22" i="164"/>
  <c r="S22" i="164"/>
  <c r="W22" i="164"/>
  <c r="K23" i="164"/>
  <c r="O23" i="164"/>
  <c r="S23" i="164"/>
  <c r="W23" i="164"/>
  <c r="K24" i="164"/>
  <c r="O24" i="164"/>
  <c r="S24" i="164"/>
  <c r="W24" i="164"/>
  <c r="K25" i="164"/>
  <c r="O25" i="164"/>
  <c r="S25" i="164"/>
  <c r="W25" i="164"/>
  <c r="K26" i="164"/>
  <c r="O26" i="164"/>
  <c r="S26" i="164"/>
  <c r="W26" i="164"/>
  <c r="K27" i="164"/>
  <c r="O27" i="164"/>
  <c r="S27" i="164"/>
  <c r="W27" i="164"/>
  <c r="K28" i="164"/>
  <c r="O28" i="164"/>
  <c r="S28" i="164"/>
  <c r="W28" i="164"/>
  <c r="K29" i="164"/>
  <c r="O29" i="164"/>
  <c r="S29" i="164"/>
  <c r="W29" i="164"/>
  <c r="K50" i="167"/>
  <c r="K160" i="167"/>
  <c r="I160" i="167" s="1"/>
  <c r="I161" i="167" s="1"/>
  <c r="G199" i="167" s="1"/>
  <c r="O24" i="157" s="1"/>
  <c r="M156" i="167"/>
  <c r="G47" i="166"/>
  <c r="X8" i="164"/>
  <c r="L9" i="164"/>
  <c r="L10" i="164" s="1"/>
  <c r="P9" i="164"/>
  <c r="P10" i="164" s="1"/>
  <c r="T9" i="164"/>
  <c r="T10" i="164" s="1"/>
  <c r="G24" i="166"/>
  <c r="G25" i="166" s="1"/>
  <c r="L66" i="164"/>
  <c r="H24" i="166" s="1"/>
  <c r="H25" i="166" s="1"/>
  <c r="G48" i="166"/>
  <c r="P66" i="164"/>
  <c r="H48" i="166" s="1"/>
  <c r="G68" i="166"/>
  <c r="T66" i="164"/>
  <c r="H68" i="166" s="1"/>
  <c r="G26" i="166"/>
  <c r="L67" i="164"/>
  <c r="H26" i="166" s="1"/>
  <c r="G49" i="166"/>
  <c r="P67" i="164"/>
  <c r="H49" i="166" s="1"/>
  <c r="G69" i="166"/>
  <c r="T67" i="164"/>
  <c r="H69" i="166" s="1"/>
  <c r="G27" i="166"/>
  <c r="L69" i="164"/>
  <c r="H27" i="166" s="1"/>
  <c r="G50" i="166"/>
  <c r="P69" i="164"/>
  <c r="H50" i="166" s="1"/>
  <c r="G70" i="166"/>
  <c r="T69" i="164"/>
  <c r="H70" i="166" s="1"/>
  <c r="U70" i="164"/>
  <c r="U72" i="164" s="1"/>
  <c r="Q70" i="164"/>
  <c r="M70" i="164"/>
  <c r="I70" i="164"/>
  <c r="V70" i="164"/>
  <c r="V72" i="164" s="1"/>
  <c r="R70" i="164"/>
  <c r="N70" i="164"/>
  <c r="N72" i="164" s="1"/>
  <c r="J70" i="164"/>
  <c r="P70" i="164"/>
  <c r="P72" i="164" s="1"/>
  <c r="W70" i="164"/>
  <c r="W72" i="164" s="1"/>
  <c r="O70" i="164"/>
  <c r="X72" i="164"/>
  <c r="T70" i="164"/>
  <c r="T72" i="164" s="1"/>
  <c r="L70" i="164"/>
  <c r="L72" i="164" s="1"/>
  <c r="S70" i="164"/>
  <c r="K70" i="164"/>
  <c r="X21" i="164"/>
  <c r="U73" i="164"/>
  <c r="Q73" i="164"/>
  <c r="M73" i="164"/>
  <c r="I73" i="164"/>
  <c r="V73" i="164"/>
  <c r="R73" i="164"/>
  <c r="N73" i="164"/>
  <c r="J73" i="164"/>
  <c r="T73" i="164"/>
  <c r="L73" i="164"/>
  <c r="S73" i="164"/>
  <c r="K73" i="164"/>
  <c r="P73" i="164"/>
  <c r="W73" i="164"/>
  <c r="O73" i="164"/>
  <c r="U74" i="164"/>
  <c r="Q74" i="164"/>
  <c r="M74" i="164"/>
  <c r="I74" i="164"/>
  <c r="V74" i="164"/>
  <c r="R74" i="164"/>
  <c r="N74" i="164"/>
  <c r="J74" i="164"/>
  <c r="T74" i="164"/>
  <c r="L74" i="164"/>
  <c r="S74" i="164"/>
  <c r="K74" i="164"/>
  <c r="P74" i="164"/>
  <c r="W74" i="164"/>
  <c r="O74" i="164"/>
  <c r="U75" i="164"/>
  <c r="Q75" i="164"/>
  <c r="M75" i="164"/>
  <c r="I75" i="164"/>
  <c r="V75" i="164"/>
  <c r="R75" i="164"/>
  <c r="N75" i="164"/>
  <c r="J75" i="164"/>
  <c r="T75" i="164"/>
  <c r="L75" i="164"/>
  <c r="S75" i="164"/>
  <c r="K75" i="164"/>
  <c r="P75" i="164"/>
  <c r="W75" i="164"/>
  <c r="O75" i="164"/>
  <c r="U76" i="164"/>
  <c r="Q76" i="164"/>
  <c r="M76" i="164"/>
  <c r="I76" i="164"/>
  <c r="V76" i="164"/>
  <c r="R76" i="164"/>
  <c r="N76" i="164"/>
  <c r="J76" i="164"/>
  <c r="T76" i="164"/>
  <c r="L76" i="164"/>
  <c r="S76" i="164"/>
  <c r="K76" i="164"/>
  <c r="P76" i="164"/>
  <c r="W76" i="164"/>
  <c r="O76" i="164"/>
  <c r="U77" i="164"/>
  <c r="Q77" i="164"/>
  <c r="M77" i="164"/>
  <c r="I77" i="164"/>
  <c r="W77" i="164"/>
  <c r="S77" i="164"/>
  <c r="O77" i="164"/>
  <c r="V77" i="164"/>
  <c r="R77" i="164"/>
  <c r="N77" i="164"/>
  <c r="J77" i="164"/>
  <c r="L77" i="164"/>
  <c r="K77" i="164"/>
  <c r="T77" i="164"/>
  <c r="P77" i="164"/>
  <c r="U78" i="164"/>
  <c r="Q78" i="164"/>
  <c r="M78" i="164"/>
  <c r="I78" i="164"/>
  <c r="W78" i="164"/>
  <c r="S78" i="164"/>
  <c r="O78" i="164"/>
  <c r="K78" i="164"/>
  <c r="V78" i="164"/>
  <c r="R78" i="164"/>
  <c r="N78" i="164"/>
  <c r="J78" i="164"/>
  <c r="L78" i="164"/>
  <c r="T78" i="164"/>
  <c r="P78" i="164"/>
  <c r="U79" i="164"/>
  <c r="Q79" i="164"/>
  <c r="M79" i="164"/>
  <c r="I79" i="164"/>
  <c r="T79" i="164"/>
  <c r="P79" i="164"/>
  <c r="L79" i="164"/>
  <c r="W79" i="164"/>
  <c r="S79" i="164"/>
  <c r="O79" i="164"/>
  <c r="K79" i="164"/>
  <c r="V79" i="164"/>
  <c r="R79" i="164"/>
  <c r="N79" i="164"/>
  <c r="J79" i="164"/>
  <c r="U80" i="164"/>
  <c r="Q80" i="164"/>
  <c r="M80" i="164"/>
  <c r="I80" i="164"/>
  <c r="T80" i="164"/>
  <c r="P80" i="164"/>
  <c r="L80" i="164"/>
  <c r="W80" i="164"/>
  <c r="S80" i="164"/>
  <c r="O80" i="164"/>
  <c r="K80" i="164"/>
  <c r="V80" i="164"/>
  <c r="R80" i="164"/>
  <c r="N80" i="164"/>
  <c r="J80" i="164"/>
  <c r="H61" i="166"/>
  <c r="G7" i="165"/>
  <c r="K60" i="164"/>
  <c r="K61" i="164" s="1"/>
  <c r="O60" i="164"/>
  <c r="O61" i="164" s="1"/>
  <c r="S60" i="164"/>
  <c r="S61" i="164" s="1"/>
  <c r="W60" i="164"/>
  <c r="W61" i="164" s="1"/>
  <c r="H46" i="166"/>
  <c r="G5" i="165"/>
  <c r="G8" i="165"/>
  <c r="H66" i="166"/>
  <c r="H67" i="166" s="1"/>
  <c r="X59" i="164"/>
  <c r="L60" i="164"/>
  <c r="L61" i="164" s="1"/>
  <c r="P60" i="164"/>
  <c r="P61" i="164" s="1"/>
  <c r="T60" i="164"/>
  <c r="T61" i="164" s="1"/>
  <c r="H4" i="166"/>
  <c r="H5" i="166" s="1"/>
  <c r="G4" i="165"/>
  <c r="H71" i="166"/>
  <c r="H72" i="166" s="1"/>
  <c r="G9" i="165"/>
  <c r="I60" i="164"/>
  <c r="I61" i="164" s="1"/>
  <c r="M60" i="164"/>
  <c r="M61" i="164" s="1"/>
  <c r="Q60" i="164"/>
  <c r="Q61" i="164" s="1"/>
  <c r="U60" i="164"/>
  <c r="U61" i="164" s="1"/>
  <c r="G6" i="165"/>
  <c r="H56" i="166"/>
  <c r="H57" i="166" s="1"/>
  <c r="G10" i="165"/>
  <c r="H76" i="166"/>
  <c r="H77" i="166" s="1"/>
  <c r="J60" i="164"/>
  <c r="J61" i="164" s="1"/>
  <c r="N60" i="164"/>
  <c r="N61" i="164" s="1"/>
  <c r="R60" i="164"/>
  <c r="R61" i="164" s="1"/>
  <c r="V60" i="164"/>
  <c r="V61" i="164" s="1"/>
  <c r="F261" i="162" l="1"/>
  <c r="J13" i="157" s="1"/>
  <c r="J72" i="164"/>
  <c r="I72" i="164"/>
  <c r="R72" i="164"/>
  <c r="L72" i="159"/>
  <c r="G19" i="161"/>
  <c r="V21" i="164"/>
  <c r="S72" i="164"/>
  <c r="S72" i="159"/>
  <c r="R21" i="164"/>
  <c r="J21" i="164"/>
  <c r="T21" i="159"/>
  <c r="T21" i="164"/>
  <c r="N21" i="164"/>
  <c r="P21" i="164"/>
  <c r="K72" i="164"/>
  <c r="P72" i="159"/>
  <c r="L21" i="164"/>
  <c r="O72" i="164"/>
  <c r="M72" i="164"/>
  <c r="P21" i="159"/>
  <c r="J72" i="159"/>
  <c r="K72" i="159"/>
  <c r="G23" i="165"/>
  <c r="L21" i="159"/>
  <c r="I182" i="167"/>
  <c r="E200" i="167" s="1"/>
  <c r="I261" i="162"/>
  <c r="Y13" i="157" s="1"/>
  <c r="Y14" i="157" s="1"/>
  <c r="I222" i="162"/>
  <c r="G261" i="162"/>
  <c r="O13" i="157" s="1"/>
  <c r="G200" i="167"/>
  <c r="O25" i="157" s="1"/>
  <c r="T86" i="164"/>
  <c r="T90" i="164"/>
  <c r="T91" i="164" s="1"/>
  <c r="T62" i="164"/>
  <c r="J90" i="164"/>
  <c r="J86" i="164"/>
  <c r="J62" i="164"/>
  <c r="K90" i="164"/>
  <c r="K86" i="164"/>
  <c r="K62" i="164"/>
  <c r="T35" i="164"/>
  <c r="T11" i="164"/>
  <c r="T39" i="164"/>
  <c r="T40" i="164" s="1"/>
  <c r="W90" i="164"/>
  <c r="W91" i="164" s="1"/>
  <c r="W86" i="164"/>
  <c r="W62" i="164"/>
  <c r="W63" i="164" s="1"/>
  <c r="P86" i="159"/>
  <c r="P90" i="159"/>
  <c r="P62" i="159"/>
  <c r="N90" i="164"/>
  <c r="N86" i="164"/>
  <c r="N62" i="164"/>
  <c r="T35" i="159"/>
  <c r="T39" i="159"/>
  <c r="T40" i="159" s="1"/>
  <c r="T11" i="159"/>
  <c r="T86" i="159"/>
  <c r="T90" i="159"/>
  <c r="T91" i="159" s="1"/>
  <c r="T62" i="159"/>
  <c r="L86" i="164"/>
  <c r="L90" i="164"/>
  <c r="L62" i="164"/>
  <c r="L63" i="164" s="1"/>
  <c r="M95" i="167"/>
  <c r="M93" i="167"/>
  <c r="M97" i="167"/>
  <c r="K97" i="167" s="1"/>
  <c r="I97" i="167" s="1"/>
  <c r="F200" i="167"/>
  <c r="J25" i="157" s="1"/>
  <c r="R90" i="164"/>
  <c r="R86" i="164"/>
  <c r="R62" i="164"/>
  <c r="Q86" i="164"/>
  <c r="Q90" i="164"/>
  <c r="Q62" i="164"/>
  <c r="Q63" i="164" s="1"/>
  <c r="P86" i="164"/>
  <c r="P90" i="164"/>
  <c r="P62" i="164"/>
  <c r="P63" i="164" s="1"/>
  <c r="O90" i="164"/>
  <c r="O86" i="164"/>
  <c r="O62" i="164"/>
  <c r="P35" i="164"/>
  <c r="P11" i="164"/>
  <c r="P12" i="164" s="1"/>
  <c r="P39" i="164"/>
  <c r="O21" i="164"/>
  <c r="M79" i="167"/>
  <c r="M83" i="167"/>
  <c r="K83" i="167" s="1"/>
  <c r="I83" i="167" s="1"/>
  <c r="M81" i="167"/>
  <c r="O35" i="164"/>
  <c r="O11" i="164"/>
  <c r="O39" i="164"/>
  <c r="M126" i="167"/>
  <c r="K126" i="167" s="1"/>
  <c r="I126" i="167" s="1"/>
  <c r="M124" i="167"/>
  <c r="M122" i="167"/>
  <c r="V39" i="164"/>
  <c r="V40" i="164" s="1"/>
  <c r="V35" i="164"/>
  <c r="V11" i="164"/>
  <c r="V12" i="164" s="1"/>
  <c r="U21" i="164"/>
  <c r="M112" i="167"/>
  <c r="K112" i="167" s="1"/>
  <c r="I112" i="167" s="1"/>
  <c r="M110" i="167"/>
  <c r="M108" i="167"/>
  <c r="U39" i="164"/>
  <c r="U40" i="164" s="1"/>
  <c r="U35" i="164"/>
  <c r="U11" i="164"/>
  <c r="M217" i="162"/>
  <c r="H47" i="160"/>
  <c r="O90" i="159"/>
  <c r="O86" i="159"/>
  <c r="O62" i="159"/>
  <c r="O63" i="159" s="1"/>
  <c r="V90" i="159"/>
  <c r="V91" i="159" s="1"/>
  <c r="V86" i="159"/>
  <c r="V62" i="159"/>
  <c r="V63" i="159" s="1"/>
  <c r="U86" i="159"/>
  <c r="U90" i="159"/>
  <c r="U91" i="159" s="1"/>
  <c r="U62" i="159"/>
  <c r="V21" i="159"/>
  <c r="M156" i="162"/>
  <c r="M154" i="162"/>
  <c r="M158" i="162"/>
  <c r="K158" i="162" s="1"/>
  <c r="I158" i="162" s="1"/>
  <c r="V39" i="159"/>
  <c r="V40" i="159" s="1"/>
  <c r="V35" i="159"/>
  <c r="V11" i="159"/>
  <c r="M21" i="159"/>
  <c r="H7" i="160"/>
  <c r="M130" i="162"/>
  <c r="M39" i="159"/>
  <c r="M35" i="159"/>
  <c r="M11" i="159"/>
  <c r="M12" i="159" s="1"/>
  <c r="P35" i="159"/>
  <c r="P39" i="159"/>
  <c r="P11" i="159"/>
  <c r="S21" i="159"/>
  <c r="K203" i="162"/>
  <c r="I203" i="162" s="1"/>
  <c r="K200" i="162"/>
  <c r="I200" i="162" s="1"/>
  <c r="K201" i="162"/>
  <c r="I201" i="162" s="1"/>
  <c r="K202" i="162"/>
  <c r="I202" i="162" s="1"/>
  <c r="S35" i="159"/>
  <c r="S39" i="159"/>
  <c r="S11" i="159"/>
  <c r="S12" i="159" s="1"/>
  <c r="L35" i="164"/>
  <c r="L11" i="164"/>
  <c r="L39" i="164"/>
  <c r="K51" i="167"/>
  <c r="I51" i="167" s="1"/>
  <c r="O50" i="167"/>
  <c r="I50" i="167" s="1"/>
  <c r="K21" i="164"/>
  <c r="K88" i="167"/>
  <c r="I88" i="167" s="1"/>
  <c r="K86" i="167"/>
  <c r="I86" i="167" s="1"/>
  <c r="K87" i="167"/>
  <c r="I87" i="167" s="1"/>
  <c r="K35" i="164"/>
  <c r="K11" i="164"/>
  <c r="K39" i="164"/>
  <c r="K129" i="167"/>
  <c r="I129" i="167" s="1"/>
  <c r="K130" i="167"/>
  <c r="I130" i="167" s="1"/>
  <c r="K131" i="167"/>
  <c r="I131" i="167" s="1"/>
  <c r="R39" i="164"/>
  <c r="R35" i="164"/>
  <c r="R11" i="164"/>
  <c r="Q21" i="164"/>
  <c r="K115" i="167"/>
  <c r="I115" i="167" s="1"/>
  <c r="K116" i="167"/>
  <c r="I116" i="167" s="1"/>
  <c r="K117" i="167"/>
  <c r="I117" i="167" s="1"/>
  <c r="Q39" i="164"/>
  <c r="Q35" i="164"/>
  <c r="Q11" i="164"/>
  <c r="L86" i="159"/>
  <c r="L90" i="159"/>
  <c r="L62" i="159"/>
  <c r="K90" i="159"/>
  <c r="K86" i="159"/>
  <c r="K62" i="159"/>
  <c r="K63" i="159" s="1"/>
  <c r="R90" i="159"/>
  <c r="R86" i="159"/>
  <c r="R62" i="159"/>
  <c r="R63" i="159" s="1"/>
  <c r="Q86" i="159"/>
  <c r="Q90" i="159"/>
  <c r="Q62" i="159"/>
  <c r="R21" i="159"/>
  <c r="K174" i="162"/>
  <c r="I174" i="162" s="1"/>
  <c r="K171" i="162"/>
  <c r="I171" i="162" s="1"/>
  <c r="K172" i="162"/>
  <c r="I172" i="162" s="1"/>
  <c r="K173" i="162"/>
  <c r="I173" i="162" s="1"/>
  <c r="R39" i="159"/>
  <c r="R35" i="159"/>
  <c r="R11" i="159"/>
  <c r="R12" i="159" s="1"/>
  <c r="I232" i="162"/>
  <c r="E260" i="162" s="1"/>
  <c r="G260" i="162"/>
  <c r="O12" i="157" s="1"/>
  <c r="AD12" i="157" s="1"/>
  <c r="I21" i="159"/>
  <c r="K27" i="162"/>
  <c r="I27" i="162" s="1"/>
  <c r="K24" i="162"/>
  <c r="I24" i="162" s="1"/>
  <c r="K25" i="162"/>
  <c r="I25" i="162" s="1"/>
  <c r="G23" i="161"/>
  <c r="K26" i="162"/>
  <c r="I26" i="162" s="1"/>
  <c r="M10" i="162"/>
  <c r="I39" i="159"/>
  <c r="I35" i="159"/>
  <c r="I11" i="159"/>
  <c r="I12" i="159" s="1"/>
  <c r="X10" i="159"/>
  <c r="X9" i="159"/>
  <c r="X14" i="159" s="1"/>
  <c r="I72" i="159"/>
  <c r="M98" i="162"/>
  <c r="M96" i="162"/>
  <c r="M100" i="162"/>
  <c r="K100" i="162" s="1"/>
  <c r="I100" i="162" s="1"/>
  <c r="M101" i="162"/>
  <c r="L35" i="159"/>
  <c r="L39" i="159"/>
  <c r="L11" i="159"/>
  <c r="O21" i="159"/>
  <c r="M69" i="162"/>
  <c r="M71" i="162"/>
  <c r="K71" i="162" s="1"/>
  <c r="I71" i="162" s="1"/>
  <c r="M67" i="162"/>
  <c r="M188" i="162"/>
  <c r="O35" i="159"/>
  <c r="O39" i="159"/>
  <c r="O11" i="159"/>
  <c r="H47" i="166"/>
  <c r="I86" i="164"/>
  <c r="I90" i="164"/>
  <c r="I62" i="164"/>
  <c r="X61" i="164"/>
  <c r="K101" i="167"/>
  <c r="I101" i="167" s="1"/>
  <c r="K102" i="167"/>
  <c r="I102" i="167" s="1"/>
  <c r="K100" i="167"/>
  <c r="I100" i="167" s="1"/>
  <c r="W21" i="164"/>
  <c r="M136" i="167"/>
  <c r="M140" i="167"/>
  <c r="K140" i="167" s="1"/>
  <c r="I140" i="167" s="1"/>
  <c r="M138" i="167"/>
  <c r="W35" i="164"/>
  <c r="W11" i="164"/>
  <c r="W12" i="164" s="1"/>
  <c r="W39" i="164"/>
  <c r="W40" i="164" s="1"/>
  <c r="M68" i="167"/>
  <c r="K68" i="167" s="1"/>
  <c r="I68" i="167" s="1"/>
  <c r="M66" i="167"/>
  <c r="M64" i="167"/>
  <c r="N39" i="164"/>
  <c r="N35" i="164"/>
  <c r="N11" i="164"/>
  <c r="N12" i="164" s="1"/>
  <c r="M21" i="164"/>
  <c r="H7" i="166"/>
  <c r="M5" i="167" s="1"/>
  <c r="K5" i="167" s="1"/>
  <c r="M39" i="164"/>
  <c r="M35" i="164"/>
  <c r="M11" i="164"/>
  <c r="M12" i="164" s="1"/>
  <c r="W90" i="159"/>
  <c r="W91" i="159" s="1"/>
  <c r="W86" i="159"/>
  <c r="W62" i="159"/>
  <c r="M212" i="162"/>
  <c r="K212" i="162" s="1"/>
  <c r="K213" i="162" s="1"/>
  <c r="H62" i="160"/>
  <c r="N90" i="159"/>
  <c r="N86" i="159"/>
  <c r="N62" i="159"/>
  <c r="M86" i="159"/>
  <c r="M90" i="159"/>
  <c r="M62" i="159"/>
  <c r="M63" i="159" s="1"/>
  <c r="N21" i="159"/>
  <c r="M40" i="162"/>
  <c r="M38" i="162"/>
  <c r="M42" i="162"/>
  <c r="K42" i="162" s="1"/>
  <c r="I42" i="162" s="1"/>
  <c r="M159" i="162"/>
  <c r="N39" i="159"/>
  <c r="N35" i="159"/>
  <c r="N11" i="159"/>
  <c r="U21" i="159"/>
  <c r="M127" i="162"/>
  <c r="M125" i="162"/>
  <c r="M129" i="162"/>
  <c r="K129" i="162" s="1"/>
  <c r="I129" i="162" s="1"/>
  <c r="U39" i="159"/>
  <c r="U40" i="159" s="1"/>
  <c r="U35" i="159"/>
  <c r="U11" i="159"/>
  <c r="U12" i="159" s="1"/>
  <c r="M72" i="159"/>
  <c r="N72" i="159"/>
  <c r="O72" i="159"/>
  <c r="K116" i="162"/>
  <c r="I116" i="162" s="1"/>
  <c r="K113" i="162"/>
  <c r="I113" i="162" s="1"/>
  <c r="K114" i="162"/>
  <c r="I114" i="162" s="1"/>
  <c r="K115" i="162"/>
  <c r="I115" i="162" s="1"/>
  <c r="K21" i="159"/>
  <c r="K87" i="162"/>
  <c r="I87" i="162" s="1"/>
  <c r="K84" i="162"/>
  <c r="I84" i="162" s="1"/>
  <c r="K85" i="162"/>
  <c r="I85" i="162" s="1"/>
  <c r="K86" i="162"/>
  <c r="I86" i="162" s="1"/>
  <c r="M72" i="162"/>
  <c r="K35" i="159"/>
  <c r="K39" i="159"/>
  <c r="K11" i="159"/>
  <c r="BS16" i="157"/>
  <c r="M86" i="164"/>
  <c r="M90" i="164"/>
  <c r="M62" i="164"/>
  <c r="X60" i="164"/>
  <c r="X65" i="164" s="1"/>
  <c r="I200" i="167"/>
  <c r="Y25" i="157" s="1"/>
  <c r="Y28" i="157" s="1"/>
  <c r="V90" i="164"/>
  <c r="V91" i="164" s="1"/>
  <c r="V86" i="164"/>
  <c r="V62" i="164"/>
  <c r="V63" i="164" s="1"/>
  <c r="U86" i="164"/>
  <c r="U90" i="164"/>
  <c r="U91" i="164" s="1"/>
  <c r="U62" i="164"/>
  <c r="U63" i="164" s="1"/>
  <c r="S90" i="164"/>
  <c r="S86" i="164"/>
  <c r="S62" i="164"/>
  <c r="M151" i="167"/>
  <c r="K151" i="167" s="1"/>
  <c r="M25" i="167"/>
  <c r="H62" i="166"/>
  <c r="Q72" i="164"/>
  <c r="M157" i="167"/>
  <c r="H156" i="167"/>
  <c r="S21" i="164"/>
  <c r="K145" i="167"/>
  <c r="I145" i="167" s="1"/>
  <c r="K143" i="167"/>
  <c r="I143" i="167" s="1"/>
  <c r="K144" i="167"/>
  <c r="I144" i="167" s="1"/>
  <c r="S35" i="164"/>
  <c r="S11" i="164"/>
  <c r="S39" i="164"/>
  <c r="K53" i="167"/>
  <c r="I53" i="167" s="1"/>
  <c r="O52" i="167"/>
  <c r="I52" i="167" s="1"/>
  <c r="K71" i="167"/>
  <c r="I71" i="167" s="1"/>
  <c r="K72" i="167"/>
  <c r="I72" i="167" s="1"/>
  <c r="K73" i="167"/>
  <c r="I73" i="167" s="1"/>
  <c r="J39" i="164"/>
  <c r="J35" i="164"/>
  <c r="J11" i="164"/>
  <c r="I21" i="164"/>
  <c r="K39" i="167"/>
  <c r="I39" i="167" s="1"/>
  <c r="X10" i="164"/>
  <c r="I39" i="164"/>
  <c r="I35" i="164"/>
  <c r="I12" i="164"/>
  <c r="X9" i="164"/>
  <c r="X14" i="164" s="1"/>
  <c r="I253" i="162"/>
  <c r="E261" i="162" s="1"/>
  <c r="S90" i="159"/>
  <c r="S86" i="159"/>
  <c r="S62" i="159"/>
  <c r="S63" i="159" s="1"/>
  <c r="J90" i="159"/>
  <c r="J86" i="159"/>
  <c r="J62" i="159"/>
  <c r="J63" i="159" s="1"/>
  <c r="I86" i="159"/>
  <c r="I90" i="159"/>
  <c r="X61" i="159"/>
  <c r="I62" i="159"/>
  <c r="X60" i="159"/>
  <c r="X65" i="159" s="1"/>
  <c r="J21" i="159"/>
  <c r="K58" i="162"/>
  <c r="I58" i="162" s="1"/>
  <c r="K55" i="162"/>
  <c r="I55" i="162" s="1"/>
  <c r="K56" i="162"/>
  <c r="I56" i="162" s="1"/>
  <c r="K57" i="162"/>
  <c r="I57" i="162" s="1"/>
  <c r="M43" i="162"/>
  <c r="J39" i="159"/>
  <c r="J35" i="159"/>
  <c r="J11" i="159"/>
  <c r="Q21" i="159"/>
  <c r="K145" i="162"/>
  <c r="I145" i="162" s="1"/>
  <c r="K142" i="162"/>
  <c r="I142" i="162" s="1"/>
  <c r="K143" i="162"/>
  <c r="I143" i="162" s="1"/>
  <c r="K144" i="162"/>
  <c r="I144" i="162" s="1"/>
  <c r="Q39" i="159"/>
  <c r="Q35" i="159"/>
  <c r="Q11" i="159"/>
  <c r="Q12" i="159" s="1"/>
  <c r="Q72" i="159"/>
  <c r="R72" i="159"/>
  <c r="W21" i="159"/>
  <c r="M185" i="162"/>
  <c r="M183" i="162"/>
  <c r="M187" i="162"/>
  <c r="K187" i="162" s="1"/>
  <c r="I187" i="162" s="1"/>
  <c r="W35" i="159"/>
  <c r="W39" i="159"/>
  <c r="W40" i="159" s="1"/>
  <c r="W11" i="159"/>
  <c r="W12" i="159" s="1"/>
  <c r="G259" i="162" l="1"/>
  <c r="BD34" i="157"/>
  <c r="BS34" i="157" s="1"/>
  <c r="O11" i="157" s="1"/>
  <c r="I146" i="167"/>
  <c r="I132" i="167"/>
  <c r="AD13" i="157"/>
  <c r="AQ10" i="157" s="1"/>
  <c r="I103" i="167"/>
  <c r="I118" i="167"/>
  <c r="I74" i="167"/>
  <c r="X35" i="164"/>
  <c r="W13" i="159"/>
  <c r="X90" i="159"/>
  <c r="S64" i="159"/>
  <c r="I151" i="167"/>
  <c r="I152" i="167" s="1"/>
  <c r="K152" i="167"/>
  <c r="H197" i="167" s="1"/>
  <c r="T20" i="157" s="1"/>
  <c r="T21" i="157" s="1"/>
  <c r="Y27" i="157"/>
  <c r="U13" i="159"/>
  <c r="M64" i="159"/>
  <c r="M6" i="167"/>
  <c r="K6" i="167" s="1"/>
  <c r="I6" i="167" s="1"/>
  <c r="N13" i="164"/>
  <c r="K64" i="167"/>
  <c r="M65" i="167"/>
  <c r="K65" i="167" s="1"/>
  <c r="I65" i="167" s="1"/>
  <c r="W13" i="164"/>
  <c r="K138" i="167"/>
  <c r="I138" i="167" s="1"/>
  <c r="M139" i="167"/>
  <c r="K139" i="167" s="1"/>
  <c r="I139" i="167" s="1"/>
  <c r="X90" i="164"/>
  <c r="M70" i="162"/>
  <c r="K70" i="162" s="1"/>
  <c r="I70" i="162" s="1"/>
  <c r="K69" i="162"/>
  <c r="I69" i="162" s="1"/>
  <c r="M11" i="162"/>
  <c r="K11" i="162" s="1"/>
  <c r="I11" i="162" s="1"/>
  <c r="K10" i="162"/>
  <c r="I10" i="162" s="1"/>
  <c r="R13" i="159"/>
  <c r="K64" i="159"/>
  <c r="M13" i="159"/>
  <c r="K154" i="162"/>
  <c r="M155" i="162"/>
  <c r="K155" i="162" s="1"/>
  <c r="I155" i="162" s="1"/>
  <c r="O64" i="159"/>
  <c r="V13" i="164"/>
  <c r="K122" i="167"/>
  <c r="M123" i="167"/>
  <c r="K123" i="167" s="1"/>
  <c r="I123" i="167" s="1"/>
  <c r="K81" i="167"/>
  <c r="I81" i="167" s="1"/>
  <c r="M82" i="167"/>
  <c r="K82" i="167" s="1"/>
  <c r="I82" i="167" s="1"/>
  <c r="Q64" i="164"/>
  <c r="L64" i="164"/>
  <c r="T64" i="164"/>
  <c r="J13" i="159"/>
  <c r="X62" i="159"/>
  <c r="I64" i="159"/>
  <c r="K49" i="167"/>
  <c r="I49" i="167" s="1"/>
  <c r="S13" i="164"/>
  <c r="K156" i="167"/>
  <c r="K157" i="167"/>
  <c r="I157" i="167" s="1"/>
  <c r="S64" i="164"/>
  <c r="M64" i="164"/>
  <c r="K13" i="159"/>
  <c r="K127" i="162"/>
  <c r="I127" i="162" s="1"/>
  <c r="M128" i="162"/>
  <c r="K128" i="162" s="1"/>
  <c r="I128" i="162" s="1"/>
  <c r="K38" i="162"/>
  <c r="M39" i="162"/>
  <c r="K39" i="162" s="1"/>
  <c r="I39" i="162" s="1"/>
  <c r="N64" i="159"/>
  <c r="M67" i="167"/>
  <c r="K67" i="167" s="1"/>
  <c r="I67" i="167" s="1"/>
  <c r="K66" i="167"/>
  <c r="I66" i="167" s="1"/>
  <c r="H86" i="166"/>
  <c r="O13" i="159"/>
  <c r="L13" i="159"/>
  <c r="X35" i="159"/>
  <c r="AQ9" i="157"/>
  <c r="L64" i="159"/>
  <c r="R13" i="164"/>
  <c r="P13" i="159"/>
  <c r="M131" i="162"/>
  <c r="K131" i="162" s="1"/>
  <c r="I131" i="162" s="1"/>
  <c r="K130" i="162"/>
  <c r="I130" i="162" s="1"/>
  <c r="V13" i="159"/>
  <c r="U13" i="164"/>
  <c r="M125" i="167"/>
  <c r="K125" i="167" s="1"/>
  <c r="I125" i="167" s="1"/>
  <c r="K124" i="167"/>
  <c r="I124" i="167" s="1"/>
  <c r="O13" i="164"/>
  <c r="R64" i="164"/>
  <c r="K93" i="167"/>
  <c r="M94" i="167"/>
  <c r="K94" i="167" s="1"/>
  <c r="I94" i="167" s="1"/>
  <c r="T64" i="159"/>
  <c r="N64" i="164"/>
  <c r="K64" i="164"/>
  <c r="K183" i="162"/>
  <c r="M184" i="162"/>
  <c r="K184" i="162" s="1"/>
  <c r="I184" i="162" s="1"/>
  <c r="J12" i="159"/>
  <c r="M44" i="162"/>
  <c r="K44" i="162" s="1"/>
  <c r="I44" i="162" s="1"/>
  <c r="K43" i="162"/>
  <c r="I43" i="162" s="1"/>
  <c r="I63" i="159"/>
  <c r="X86" i="159"/>
  <c r="X39" i="164"/>
  <c r="J13" i="164"/>
  <c r="S12" i="164"/>
  <c r="S63" i="164"/>
  <c r="M63" i="164"/>
  <c r="K12" i="159"/>
  <c r="M73" i="162"/>
  <c r="K73" i="162" s="1"/>
  <c r="I73" i="162" s="1"/>
  <c r="K72" i="162"/>
  <c r="I72" i="162" s="1"/>
  <c r="N13" i="159"/>
  <c r="K40" i="162"/>
  <c r="I40" i="162" s="1"/>
  <c r="M41" i="162"/>
  <c r="K41" i="162" s="1"/>
  <c r="I41" i="162" s="1"/>
  <c r="N63" i="159"/>
  <c r="W64" i="159"/>
  <c r="K136" i="167"/>
  <c r="M137" i="167"/>
  <c r="K137" i="167" s="1"/>
  <c r="I137" i="167" s="1"/>
  <c r="X62" i="164"/>
  <c r="M9" i="167" s="1"/>
  <c r="K9" i="167" s="1"/>
  <c r="I9" i="167" s="1"/>
  <c r="I64" i="164"/>
  <c r="X86" i="164"/>
  <c r="M24" i="167"/>
  <c r="K24" i="167" s="1"/>
  <c r="I24" i="167" s="1"/>
  <c r="M23" i="167"/>
  <c r="K23" i="167" s="1"/>
  <c r="I23" i="167" s="1"/>
  <c r="I22" i="167"/>
  <c r="O12" i="159"/>
  <c r="M189" i="162"/>
  <c r="K189" i="162" s="1"/>
  <c r="K188" i="162"/>
  <c r="I188" i="162" s="1"/>
  <c r="L12" i="159"/>
  <c r="M102" i="162"/>
  <c r="K102" i="162" s="1"/>
  <c r="I102" i="162" s="1"/>
  <c r="K101" i="162"/>
  <c r="I101" i="162" s="1"/>
  <c r="K96" i="162"/>
  <c r="M97" i="162"/>
  <c r="K97" i="162" s="1"/>
  <c r="I97" i="162" s="1"/>
  <c r="G86" i="160"/>
  <c r="X39" i="159"/>
  <c r="Q64" i="159"/>
  <c r="L63" i="159"/>
  <c r="Q13" i="164"/>
  <c r="R12" i="164"/>
  <c r="K13" i="164"/>
  <c r="I89" i="167"/>
  <c r="L13" i="164"/>
  <c r="P12" i="159"/>
  <c r="M7" i="162"/>
  <c r="M5" i="162"/>
  <c r="M9" i="162"/>
  <c r="K9" i="162" s="1"/>
  <c r="I9" i="162" s="1"/>
  <c r="V12" i="159"/>
  <c r="K156" i="162"/>
  <c r="I156" i="162" s="1"/>
  <c r="M157" i="162"/>
  <c r="K157" i="162" s="1"/>
  <c r="I157" i="162" s="1"/>
  <c r="U64" i="159"/>
  <c r="M218" i="162"/>
  <c r="H217" i="162"/>
  <c r="U12" i="164"/>
  <c r="M109" i="167"/>
  <c r="K109" i="167" s="1"/>
  <c r="I109" i="167" s="1"/>
  <c r="K108" i="167"/>
  <c r="O12" i="164"/>
  <c r="K79" i="167"/>
  <c r="M80" i="167"/>
  <c r="K80" i="167" s="1"/>
  <c r="I80" i="167" s="1"/>
  <c r="O64" i="164"/>
  <c r="R63" i="164"/>
  <c r="K95" i="167"/>
  <c r="I95" i="167" s="1"/>
  <c r="M96" i="167"/>
  <c r="K96" i="167" s="1"/>
  <c r="I96" i="167" s="1"/>
  <c r="T63" i="159"/>
  <c r="T13" i="159"/>
  <c r="N63" i="164"/>
  <c r="P64" i="159"/>
  <c r="T13" i="164"/>
  <c r="K63" i="164"/>
  <c r="J64" i="164"/>
  <c r="K185" i="162"/>
  <c r="I185" i="162" s="1"/>
  <c r="M186" i="162"/>
  <c r="K186" i="162" s="1"/>
  <c r="I186" i="162" s="1"/>
  <c r="Q13" i="159"/>
  <c r="H86" i="160"/>
  <c r="J64" i="159"/>
  <c r="X11" i="164"/>
  <c r="X15" i="164" s="1"/>
  <c r="G88" i="166" s="1"/>
  <c r="I13" i="164"/>
  <c r="G86" i="166"/>
  <c r="J12" i="164"/>
  <c r="M27" i="167"/>
  <c r="K27" i="167" s="1"/>
  <c r="I27" i="167" s="1"/>
  <c r="M28" i="167"/>
  <c r="K28" i="167" s="1"/>
  <c r="I28" i="167" s="1"/>
  <c r="M26" i="167"/>
  <c r="K26" i="167" s="1"/>
  <c r="I26" i="167" s="1"/>
  <c r="K25" i="167"/>
  <c r="I25" i="167" s="1"/>
  <c r="U64" i="164"/>
  <c r="V64" i="164"/>
  <c r="K125" i="162"/>
  <c r="M126" i="162"/>
  <c r="K126" i="162" s="1"/>
  <c r="I126" i="162" s="1"/>
  <c r="N12" i="159"/>
  <c r="M160" i="162"/>
  <c r="K160" i="162" s="1"/>
  <c r="I160" i="162" s="1"/>
  <c r="K159" i="162"/>
  <c r="I159" i="162" s="1"/>
  <c r="I212" i="162"/>
  <c r="I213" i="162" s="1"/>
  <c r="H257" i="162"/>
  <c r="T7" i="157" s="1"/>
  <c r="T8" i="157" s="1"/>
  <c r="W63" i="159"/>
  <c r="M13" i="164"/>
  <c r="I63" i="164"/>
  <c r="K67" i="162"/>
  <c r="M68" i="162"/>
  <c r="K68" i="162" s="1"/>
  <c r="I68" i="162" s="1"/>
  <c r="K98" i="162"/>
  <c r="I98" i="162" s="1"/>
  <c r="M99" i="162"/>
  <c r="K99" i="162" s="1"/>
  <c r="I99" i="162" s="1"/>
  <c r="I13" i="159"/>
  <c r="X11" i="159"/>
  <c r="Q63" i="159"/>
  <c r="R64" i="159"/>
  <c r="Q12" i="164"/>
  <c r="K12" i="164"/>
  <c r="L12" i="164"/>
  <c r="S13" i="159"/>
  <c r="U63" i="159"/>
  <c r="V64" i="159"/>
  <c r="K110" i="167"/>
  <c r="I110" i="167" s="1"/>
  <c r="M111" i="167"/>
  <c r="K111" i="167" s="1"/>
  <c r="I111" i="167" s="1"/>
  <c r="P13" i="164"/>
  <c r="O63" i="164"/>
  <c r="P64" i="164"/>
  <c r="AD25" i="157"/>
  <c r="T12" i="159"/>
  <c r="P63" i="159"/>
  <c r="W64" i="164"/>
  <c r="T12" i="164"/>
  <c r="J63" i="164"/>
  <c r="T63" i="164"/>
  <c r="K141" i="167" l="1"/>
  <c r="K69" i="167"/>
  <c r="I21" i="167"/>
  <c r="I189" i="162"/>
  <c r="X66" i="159"/>
  <c r="H88" i="160" s="1"/>
  <c r="H90" i="160" s="1"/>
  <c r="X12" i="164"/>
  <c r="X12" i="159"/>
  <c r="M30" i="164"/>
  <c r="E262" i="162"/>
  <c r="H258" i="162"/>
  <c r="I125" i="162"/>
  <c r="V81" i="164"/>
  <c r="Q30" i="159"/>
  <c r="T30" i="164"/>
  <c r="K84" i="167"/>
  <c r="I79" i="167"/>
  <c r="I84" i="167" s="1"/>
  <c r="G87" i="160"/>
  <c r="G11" i="161"/>
  <c r="J30" i="164"/>
  <c r="J31" i="164" s="1"/>
  <c r="K98" i="167"/>
  <c r="I93" i="167"/>
  <c r="I98" i="167" s="1"/>
  <c r="L81" i="159"/>
  <c r="L82" i="159" s="1"/>
  <c r="X66" i="164"/>
  <c r="H88" i="166" s="1"/>
  <c r="H90" i="166" s="1"/>
  <c r="M81" i="164"/>
  <c r="X64" i="159"/>
  <c r="X67" i="159" s="1"/>
  <c r="H89" i="160" s="1"/>
  <c r="I81" i="159"/>
  <c r="M30" i="159"/>
  <c r="M31" i="159" s="1"/>
  <c r="I64" i="167"/>
  <c r="I69" i="167" s="1"/>
  <c r="I5" i="167"/>
  <c r="S81" i="159"/>
  <c r="W81" i="164"/>
  <c r="AI25" i="157"/>
  <c r="AR9" i="157"/>
  <c r="P30" i="164"/>
  <c r="V81" i="159"/>
  <c r="V82" i="159" s="1"/>
  <c r="R81" i="159"/>
  <c r="I67" i="162"/>
  <c r="K42" i="167"/>
  <c r="I42" i="167" s="1"/>
  <c r="K45" i="167"/>
  <c r="I45" i="167" s="1"/>
  <c r="H87" i="160"/>
  <c r="J81" i="164"/>
  <c r="J82" i="164" s="1"/>
  <c r="T30" i="159"/>
  <c r="T31" i="159" s="1"/>
  <c r="O81" i="164"/>
  <c r="O82" i="164" s="1"/>
  <c r="K217" i="162"/>
  <c r="K219" i="162" s="1"/>
  <c r="K218" i="162"/>
  <c r="I218" i="162" s="1"/>
  <c r="K5" i="162"/>
  <c r="M6" i="162"/>
  <c r="K6" i="162" s="1"/>
  <c r="I6" i="162" s="1"/>
  <c r="W81" i="159"/>
  <c r="N30" i="159"/>
  <c r="N31" i="159" s="1"/>
  <c r="K81" i="164"/>
  <c r="T81" i="159"/>
  <c r="T82" i="159" s="1"/>
  <c r="R81" i="164"/>
  <c r="O30" i="164"/>
  <c r="O31" i="164" s="1"/>
  <c r="R30" i="164"/>
  <c r="L30" i="159"/>
  <c r="L31" i="159" s="1"/>
  <c r="H87" i="166"/>
  <c r="J30" i="159"/>
  <c r="T81" i="164"/>
  <c r="T82" i="164" s="1"/>
  <c r="Q81" i="164"/>
  <c r="K81" i="159"/>
  <c r="K82" i="159" s="1"/>
  <c r="W30" i="164"/>
  <c r="N30" i="164"/>
  <c r="N31" i="164" s="1"/>
  <c r="M81" i="159"/>
  <c r="H198" i="167"/>
  <c r="E202" i="167"/>
  <c r="P81" i="164"/>
  <c r="S30" i="159"/>
  <c r="S31" i="159" s="1"/>
  <c r="X63" i="164"/>
  <c r="U81" i="164"/>
  <c r="U82" i="164" s="1"/>
  <c r="G87" i="166"/>
  <c r="G11" i="165"/>
  <c r="G90" i="166"/>
  <c r="J81" i="159"/>
  <c r="P81" i="159"/>
  <c r="P82" i="159" s="1"/>
  <c r="I108" i="167"/>
  <c r="I113" i="167" s="1"/>
  <c r="K113" i="167"/>
  <c r="K7" i="162"/>
  <c r="I7" i="162" s="1"/>
  <c r="M8" i="162"/>
  <c r="K8" i="162" s="1"/>
  <c r="I8" i="162" s="1"/>
  <c r="K30" i="164"/>
  <c r="Q30" i="164"/>
  <c r="Q31" i="164" s="1"/>
  <c r="Q81" i="159"/>
  <c r="I96" i="162"/>
  <c r="U30" i="164"/>
  <c r="V30" i="159"/>
  <c r="P30" i="159"/>
  <c r="O30" i="159"/>
  <c r="O31" i="159" s="1"/>
  <c r="I38" i="162"/>
  <c r="K30" i="159"/>
  <c r="K158" i="167"/>
  <c r="G197" i="167" s="1"/>
  <c r="O20" i="157" s="1"/>
  <c r="O21" i="157" s="1"/>
  <c r="I156" i="167"/>
  <c r="I158" i="167" s="1"/>
  <c r="G198" i="167" s="1"/>
  <c r="L81" i="164"/>
  <c r="K127" i="167"/>
  <c r="I122" i="167"/>
  <c r="I127" i="167" s="1"/>
  <c r="W30" i="159"/>
  <c r="I30" i="159"/>
  <c r="I31" i="159" s="1"/>
  <c r="X13" i="159"/>
  <c r="X13" i="164"/>
  <c r="I31" i="164"/>
  <c r="U81" i="159"/>
  <c r="L30" i="164"/>
  <c r="X15" i="159"/>
  <c r="I81" i="164"/>
  <c r="X64" i="164"/>
  <c r="X67" i="164" s="1"/>
  <c r="H89" i="166" s="1"/>
  <c r="I136" i="167"/>
  <c r="I141" i="167" s="1"/>
  <c r="X63" i="159"/>
  <c r="I183" i="162"/>
  <c r="N81" i="164"/>
  <c r="N81" i="159"/>
  <c r="N82" i="159" s="1"/>
  <c r="S81" i="164"/>
  <c r="S30" i="164"/>
  <c r="S31" i="164" s="1"/>
  <c r="V30" i="164"/>
  <c r="O81" i="159"/>
  <c r="O82" i="159" s="1"/>
  <c r="I154" i="162"/>
  <c r="R30" i="159"/>
  <c r="R31" i="159" s="1"/>
  <c r="U30" i="159"/>
  <c r="U33" i="159" l="1"/>
  <c r="U34" i="159" s="1"/>
  <c r="U32" i="159"/>
  <c r="V33" i="164"/>
  <c r="V34" i="164" s="1"/>
  <c r="V32" i="164"/>
  <c r="S84" i="164"/>
  <c r="S85" i="164" s="1"/>
  <c r="S83" i="164"/>
  <c r="N84" i="164"/>
  <c r="N85" i="164" s="1"/>
  <c r="N83" i="164"/>
  <c r="N91" i="164" s="1"/>
  <c r="L33" i="164"/>
  <c r="L34" i="164" s="1"/>
  <c r="L32" i="164"/>
  <c r="U84" i="159"/>
  <c r="U85" i="159" s="1"/>
  <c r="U83" i="159"/>
  <c r="G12" i="165"/>
  <c r="G13" i="165" s="1"/>
  <c r="G14" i="165" s="1"/>
  <c r="X16" i="164"/>
  <c r="G89" i="166" s="1"/>
  <c r="W33" i="159"/>
  <c r="W34" i="159" s="1"/>
  <c r="W32" i="159"/>
  <c r="V33" i="159"/>
  <c r="V34" i="159" s="1"/>
  <c r="V32" i="159"/>
  <c r="K43" i="167"/>
  <c r="M10" i="167"/>
  <c r="H203" i="167"/>
  <c r="T23" i="157"/>
  <c r="T28" i="157" s="1"/>
  <c r="Q84" i="164"/>
  <c r="Q85" i="164" s="1"/>
  <c r="Q83" i="164"/>
  <c r="J33" i="159"/>
  <c r="J34" i="159" s="1"/>
  <c r="J32" i="159"/>
  <c r="R33" i="164"/>
  <c r="R34" i="164" s="1"/>
  <c r="R32" i="164"/>
  <c r="R84" i="164"/>
  <c r="R85" i="164" s="1"/>
  <c r="R83" i="164"/>
  <c r="K84" i="164"/>
  <c r="K85" i="164" s="1"/>
  <c r="K83" i="164"/>
  <c r="K91" i="164" s="1"/>
  <c r="W84" i="159"/>
  <c r="W85" i="159" s="1"/>
  <c r="W83" i="159"/>
  <c r="I5" i="162"/>
  <c r="M84" i="164"/>
  <c r="M85" i="164" s="1"/>
  <c r="M83" i="164"/>
  <c r="Q33" i="159"/>
  <c r="Q34" i="159" s="1"/>
  <c r="Q32" i="159"/>
  <c r="M33" i="164"/>
  <c r="M34" i="164" s="1"/>
  <c r="M32" i="164"/>
  <c r="U31" i="159"/>
  <c r="V31" i="164"/>
  <c r="S82" i="164"/>
  <c r="N82" i="164"/>
  <c r="I84" i="164"/>
  <c r="X81" i="164"/>
  <c r="X68" i="164" s="1"/>
  <c r="I83" i="164"/>
  <c r="L31" i="164"/>
  <c r="U82" i="159"/>
  <c r="G12" i="161"/>
  <c r="X16" i="159"/>
  <c r="G89" i="160" s="1"/>
  <c r="W31" i="159"/>
  <c r="L84" i="164"/>
  <c r="L85" i="164" s="1"/>
  <c r="L83" i="164"/>
  <c r="K33" i="159"/>
  <c r="K34" i="159" s="1"/>
  <c r="K32" i="159"/>
  <c r="K40" i="159" s="1"/>
  <c r="P33" i="159"/>
  <c r="P34" i="159" s="1"/>
  <c r="P32" i="159"/>
  <c r="U33" i="164"/>
  <c r="U34" i="164" s="1"/>
  <c r="U32" i="164"/>
  <c r="Q84" i="159"/>
  <c r="Q85" i="159" s="1"/>
  <c r="Q83" i="159"/>
  <c r="K33" i="164"/>
  <c r="K34" i="164" s="1"/>
  <c r="K32" i="164"/>
  <c r="K40" i="164" s="1"/>
  <c r="J84" i="159"/>
  <c r="J83" i="159"/>
  <c r="P84" i="164"/>
  <c r="P85" i="164" s="1"/>
  <c r="P83" i="164"/>
  <c r="M84" i="159"/>
  <c r="M83" i="159"/>
  <c r="W33" i="164"/>
  <c r="W34" i="164" s="1"/>
  <c r="W32" i="164"/>
  <c r="Q82" i="164"/>
  <c r="J31" i="159"/>
  <c r="R31" i="164"/>
  <c r="R82" i="164"/>
  <c r="K82" i="164"/>
  <c r="W82" i="159"/>
  <c r="R84" i="159"/>
  <c r="R85" i="159" s="1"/>
  <c r="R83" i="159"/>
  <c r="P33" i="164"/>
  <c r="P34" i="164" s="1"/>
  <c r="P32" i="164"/>
  <c r="W84" i="164"/>
  <c r="W85" i="164" s="1"/>
  <c r="W83" i="164"/>
  <c r="S84" i="159"/>
  <c r="S85" i="159" s="1"/>
  <c r="S83" i="159"/>
  <c r="I84" i="159"/>
  <c r="X81" i="159"/>
  <c r="X68" i="159" s="1"/>
  <c r="I83" i="159"/>
  <c r="M82" i="164"/>
  <c r="Q31" i="159"/>
  <c r="M31" i="164"/>
  <c r="O84" i="159"/>
  <c r="O83" i="159"/>
  <c r="O91" i="159" s="1"/>
  <c r="S33" i="164"/>
  <c r="S34" i="164" s="1"/>
  <c r="S32" i="164"/>
  <c r="N84" i="159"/>
  <c r="N83" i="159"/>
  <c r="N91" i="159" s="1"/>
  <c r="I82" i="164"/>
  <c r="X30" i="164"/>
  <c r="X17" i="164" s="1"/>
  <c r="I33" i="164"/>
  <c r="I33" i="159"/>
  <c r="X30" i="159"/>
  <c r="X17" i="159" s="1"/>
  <c r="I32" i="159"/>
  <c r="L82" i="164"/>
  <c r="K31" i="159"/>
  <c r="P31" i="159"/>
  <c r="U31" i="164"/>
  <c r="Q82" i="159"/>
  <c r="K31" i="164"/>
  <c r="J82" i="159"/>
  <c r="U84" i="164"/>
  <c r="U85" i="164" s="1"/>
  <c r="U83" i="164"/>
  <c r="P82" i="164"/>
  <c r="M82" i="159"/>
  <c r="W31" i="164"/>
  <c r="K84" i="159"/>
  <c r="K83" i="159"/>
  <c r="K91" i="159" s="1"/>
  <c r="T84" i="164"/>
  <c r="T85" i="164" s="1"/>
  <c r="T83" i="164"/>
  <c r="L33" i="159"/>
  <c r="L34" i="159" s="1"/>
  <c r="L32" i="159"/>
  <c r="O33" i="164"/>
  <c r="O34" i="164" s="1"/>
  <c r="O32" i="164"/>
  <c r="O40" i="164" s="1"/>
  <c r="T84" i="159"/>
  <c r="T85" i="159" s="1"/>
  <c r="T83" i="159"/>
  <c r="N33" i="159"/>
  <c r="N34" i="159" s="1"/>
  <c r="N32" i="159"/>
  <c r="N40" i="159" s="1"/>
  <c r="I217" i="162"/>
  <c r="I219" i="162" s="1"/>
  <c r="BD33" i="157" s="1"/>
  <c r="BS33" i="157" s="1"/>
  <c r="T33" i="159"/>
  <c r="T34" i="159" s="1"/>
  <c r="T32" i="159"/>
  <c r="R82" i="159"/>
  <c r="P31" i="164"/>
  <c r="W82" i="164"/>
  <c r="S82" i="159"/>
  <c r="I82" i="159"/>
  <c r="T33" i="164"/>
  <c r="T34" i="164" s="1"/>
  <c r="T32" i="164"/>
  <c r="V84" i="164"/>
  <c r="V85" i="164" s="1"/>
  <c r="V83" i="164"/>
  <c r="H263" i="162"/>
  <c r="T10" i="157"/>
  <c r="T15" i="157" s="1"/>
  <c r="R33" i="159"/>
  <c r="R34" i="159" s="1"/>
  <c r="R32" i="159"/>
  <c r="G88" i="160"/>
  <c r="G90" i="160" s="1"/>
  <c r="E44" i="156"/>
  <c r="E45" i="156" s="1"/>
  <c r="G203" i="167"/>
  <c r="O23" i="157"/>
  <c r="O33" i="159"/>
  <c r="O34" i="159" s="1"/>
  <c r="O32" i="159"/>
  <c r="O40" i="159" s="1"/>
  <c r="V31" i="159"/>
  <c r="Q33" i="164"/>
  <c r="Q34" i="164" s="1"/>
  <c r="Q32" i="164"/>
  <c r="P84" i="159"/>
  <c r="P85" i="159" s="1"/>
  <c r="P83" i="159"/>
  <c r="S33" i="159"/>
  <c r="S34" i="159" s="1"/>
  <c r="S32" i="159"/>
  <c r="N33" i="164"/>
  <c r="N34" i="164" s="1"/>
  <c r="N32" i="164"/>
  <c r="N40" i="164" s="1"/>
  <c r="O84" i="164"/>
  <c r="O85" i="164" s="1"/>
  <c r="O83" i="164"/>
  <c r="O91" i="164" s="1"/>
  <c r="J84" i="164"/>
  <c r="J85" i="164" s="1"/>
  <c r="J83" i="164"/>
  <c r="V84" i="159"/>
  <c r="V85" i="159" s="1"/>
  <c r="V83" i="159"/>
  <c r="M33" i="159"/>
  <c r="M34" i="159" s="1"/>
  <c r="M32" i="159"/>
  <c r="L84" i="159"/>
  <c r="L83" i="159"/>
  <c r="J33" i="164"/>
  <c r="J34" i="164" s="1"/>
  <c r="J32" i="164"/>
  <c r="T31" i="164"/>
  <c r="V82" i="164"/>
  <c r="G257" i="162" l="1"/>
  <c r="BD32" i="157"/>
  <c r="BS32" i="157" s="1"/>
  <c r="O7" i="157" s="1"/>
  <c r="G258" i="162"/>
  <c r="G263" i="162" s="1"/>
  <c r="X31" i="159"/>
  <c r="X31" i="164"/>
  <c r="J38" i="164"/>
  <c r="J36" i="164"/>
  <c r="J37" i="164" s="1"/>
  <c r="L93" i="159"/>
  <c r="L92" i="159"/>
  <c r="L91" i="159"/>
  <c r="J89" i="164"/>
  <c r="J87" i="164"/>
  <c r="J88" i="164" s="1"/>
  <c r="N38" i="164"/>
  <c r="N36" i="164"/>
  <c r="N37" i="164" s="1"/>
  <c r="P89" i="159"/>
  <c r="P87" i="159"/>
  <c r="P88" i="159" s="1"/>
  <c r="O42" i="159"/>
  <c r="O41" i="159"/>
  <c r="R41" i="159"/>
  <c r="R42" i="159"/>
  <c r="R40" i="159"/>
  <c r="V93" i="164"/>
  <c r="V92" i="164"/>
  <c r="T36" i="159"/>
  <c r="T37" i="159" s="1"/>
  <c r="T38" i="159"/>
  <c r="N38" i="159"/>
  <c r="N36" i="159"/>
  <c r="N37" i="159" s="1"/>
  <c r="O38" i="164"/>
  <c r="O36" i="164"/>
  <c r="O37" i="164" s="1"/>
  <c r="T89" i="164"/>
  <c r="T87" i="164"/>
  <c r="T88" i="164" s="1"/>
  <c r="X32" i="164"/>
  <c r="I41" i="164"/>
  <c r="I40" i="164"/>
  <c r="S42" i="164"/>
  <c r="S41" i="164"/>
  <c r="S40" i="164"/>
  <c r="W92" i="164"/>
  <c r="W93" i="164"/>
  <c r="R93" i="159"/>
  <c r="R92" i="159"/>
  <c r="R91" i="159"/>
  <c r="W42" i="164"/>
  <c r="W41" i="164"/>
  <c r="P93" i="164"/>
  <c r="P92" i="164"/>
  <c r="P91" i="164"/>
  <c r="K42" i="164"/>
  <c r="K41" i="164"/>
  <c r="U42" i="164"/>
  <c r="U41" i="164"/>
  <c r="K42" i="159"/>
  <c r="K41" i="159"/>
  <c r="M42" i="164"/>
  <c r="M41" i="164"/>
  <c r="M40" i="164"/>
  <c r="M93" i="164"/>
  <c r="M92" i="164"/>
  <c r="M91" i="164"/>
  <c r="W92" i="159"/>
  <c r="W93" i="159"/>
  <c r="R93" i="164"/>
  <c r="R92" i="164"/>
  <c r="R91" i="164"/>
  <c r="J41" i="159"/>
  <c r="J42" i="159"/>
  <c r="J40" i="159"/>
  <c r="K10" i="167"/>
  <c r="I10" i="167" s="1"/>
  <c r="M11" i="167"/>
  <c r="K11" i="167" s="1"/>
  <c r="I11" i="167" s="1"/>
  <c r="M12" i="167"/>
  <c r="K12" i="167" s="1"/>
  <c r="I12" i="167" s="1"/>
  <c r="W42" i="159"/>
  <c r="W41" i="159"/>
  <c r="U93" i="159"/>
  <c r="U92" i="159"/>
  <c r="N93" i="164"/>
  <c r="N92" i="164"/>
  <c r="V41" i="164"/>
  <c r="V42" i="164"/>
  <c r="K117" i="162"/>
  <c r="I117" i="162" s="1"/>
  <c r="K118" i="162"/>
  <c r="I118" i="162" s="1"/>
  <c r="M103" i="162"/>
  <c r="K103" i="162" s="1"/>
  <c r="M104" i="162"/>
  <c r="K104" i="162" s="1"/>
  <c r="I104" i="162" s="1"/>
  <c r="L85" i="159"/>
  <c r="V93" i="159"/>
  <c r="V92" i="159"/>
  <c r="O92" i="164"/>
  <c r="O93" i="164"/>
  <c r="S42" i="159"/>
  <c r="S41" i="159"/>
  <c r="S40" i="159"/>
  <c r="Q42" i="164"/>
  <c r="Q41" i="164"/>
  <c r="Q40" i="164"/>
  <c r="O38" i="159"/>
  <c r="O36" i="159"/>
  <c r="O37" i="159" s="1"/>
  <c r="R38" i="159"/>
  <c r="R36" i="159"/>
  <c r="R37" i="159" s="1"/>
  <c r="V89" i="164"/>
  <c r="V87" i="164"/>
  <c r="V88" i="164" s="1"/>
  <c r="T93" i="159"/>
  <c r="T92" i="159"/>
  <c r="L42" i="159"/>
  <c r="L41" i="159"/>
  <c r="L40" i="159"/>
  <c r="K92" i="159"/>
  <c r="K93" i="159"/>
  <c r="I42" i="159"/>
  <c r="X32" i="159"/>
  <c r="I41" i="159"/>
  <c r="I40" i="159"/>
  <c r="X33" i="164"/>
  <c r="M31" i="167" s="1"/>
  <c r="K31" i="167" s="1"/>
  <c r="I34" i="164"/>
  <c r="X82" i="164"/>
  <c r="S38" i="164"/>
  <c r="S36" i="164"/>
  <c r="S37" i="164" s="1"/>
  <c r="K28" i="162"/>
  <c r="I28" i="162" s="1"/>
  <c r="X84" i="159"/>
  <c r="K29" i="162"/>
  <c r="I29" i="162" s="1"/>
  <c r="M12" i="162"/>
  <c r="K12" i="162" s="1"/>
  <c r="M13" i="162"/>
  <c r="K13" i="162" s="1"/>
  <c r="I13" i="162" s="1"/>
  <c r="I85" i="159"/>
  <c r="W89" i="164"/>
  <c r="W87" i="164"/>
  <c r="W88" i="164" s="1"/>
  <c r="R89" i="159"/>
  <c r="R87" i="159"/>
  <c r="R88" i="159" s="1"/>
  <c r="W38" i="164"/>
  <c r="W36" i="164"/>
  <c r="W37" i="164" s="1"/>
  <c r="P89" i="164"/>
  <c r="P87" i="164"/>
  <c r="P88" i="164" s="1"/>
  <c r="K38" i="164"/>
  <c r="K36" i="164"/>
  <c r="K37" i="164" s="1"/>
  <c r="U38" i="164"/>
  <c r="U36" i="164"/>
  <c r="U37" i="164" s="1"/>
  <c r="K38" i="159"/>
  <c r="K36" i="159"/>
  <c r="K37" i="159" s="1"/>
  <c r="I93" i="164"/>
  <c r="X83" i="164"/>
  <c r="I92" i="164"/>
  <c r="I91" i="164"/>
  <c r="M38" i="164"/>
  <c r="M36" i="164"/>
  <c r="M37" i="164" s="1"/>
  <c r="M87" i="164"/>
  <c r="M88" i="164" s="1"/>
  <c r="M89" i="164"/>
  <c r="W89" i="159"/>
  <c r="W87" i="159"/>
  <c r="W88" i="159" s="1"/>
  <c r="R89" i="164"/>
  <c r="R87" i="164"/>
  <c r="R88" i="164" s="1"/>
  <c r="J38" i="159"/>
  <c r="J36" i="159"/>
  <c r="J37" i="159" s="1"/>
  <c r="K44" i="167"/>
  <c r="I44" i="167" s="1"/>
  <c r="O43" i="167"/>
  <c r="I43" i="167" s="1"/>
  <c r="W38" i="159"/>
  <c r="W36" i="159"/>
  <c r="W37" i="159" s="1"/>
  <c r="U87" i="159"/>
  <c r="U88" i="159" s="1"/>
  <c r="U89" i="159"/>
  <c r="N89" i="164"/>
  <c r="N87" i="164"/>
  <c r="N88" i="164" s="1"/>
  <c r="V38" i="164"/>
  <c r="V36" i="164"/>
  <c r="V37" i="164" s="1"/>
  <c r="J41" i="164"/>
  <c r="J42" i="164"/>
  <c r="J40" i="164"/>
  <c r="M42" i="159"/>
  <c r="M41" i="159"/>
  <c r="M40" i="159"/>
  <c r="V89" i="159"/>
  <c r="V87" i="159"/>
  <c r="V88" i="159" s="1"/>
  <c r="O89" i="164"/>
  <c r="O87" i="164"/>
  <c r="O88" i="164" s="1"/>
  <c r="S38" i="159"/>
  <c r="S36" i="159"/>
  <c r="S37" i="159" s="1"/>
  <c r="Q38" i="164"/>
  <c r="Q36" i="164"/>
  <c r="Q37" i="164" s="1"/>
  <c r="O27" i="157"/>
  <c r="O28" i="157"/>
  <c r="M44" i="156"/>
  <c r="O44" i="156"/>
  <c r="T14" i="157"/>
  <c r="T42" i="164"/>
  <c r="T41" i="164"/>
  <c r="X82" i="159"/>
  <c r="T89" i="159"/>
  <c r="T87" i="159"/>
  <c r="T88" i="159" s="1"/>
  <c r="L36" i="159"/>
  <c r="L37" i="159" s="1"/>
  <c r="L38" i="159"/>
  <c r="K88" i="162"/>
  <c r="I88" i="162" s="1"/>
  <c r="K89" i="162"/>
  <c r="I89" i="162" s="1"/>
  <c r="M74" i="162"/>
  <c r="K74" i="162" s="1"/>
  <c r="M75" i="162"/>
  <c r="K75" i="162" s="1"/>
  <c r="I75" i="162" s="1"/>
  <c r="K85" i="159"/>
  <c r="U93" i="164"/>
  <c r="U92" i="164"/>
  <c r="N93" i="159"/>
  <c r="N92" i="159"/>
  <c r="O92" i="159"/>
  <c r="O93" i="159"/>
  <c r="S92" i="159"/>
  <c r="S93" i="159"/>
  <c r="S91" i="159"/>
  <c r="P42" i="164"/>
  <c r="P41" i="164"/>
  <c r="P40" i="164"/>
  <c r="M93" i="159"/>
  <c r="M92" i="159"/>
  <c r="M91" i="159"/>
  <c r="J93" i="159"/>
  <c r="J92" i="159"/>
  <c r="J91" i="159"/>
  <c r="Q93" i="159"/>
  <c r="Q92" i="159"/>
  <c r="Q91" i="159"/>
  <c r="P42" i="159"/>
  <c r="P41" i="159"/>
  <c r="P40" i="159"/>
  <c r="L93" i="164"/>
  <c r="L92" i="164"/>
  <c r="L91" i="164"/>
  <c r="G13" i="161"/>
  <c r="G14" i="161" s="1"/>
  <c r="E47" i="156"/>
  <c r="E48" i="156" s="1"/>
  <c r="Q42" i="159"/>
  <c r="Q41" i="159"/>
  <c r="Q40" i="159"/>
  <c r="K92" i="164"/>
  <c r="K93" i="164"/>
  <c r="R41" i="164"/>
  <c r="R42" i="164"/>
  <c r="R40" i="164"/>
  <c r="Q93" i="164"/>
  <c r="Q92" i="164"/>
  <c r="Q91" i="164"/>
  <c r="T27" i="157"/>
  <c r="V41" i="159"/>
  <c r="V42" i="159"/>
  <c r="L42" i="164"/>
  <c r="L41" i="164"/>
  <c r="L40" i="164"/>
  <c r="S92" i="164"/>
  <c r="S93" i="164"/>
  <c r="S91" i="164"/>
  <c r="U42" i="159"/>
  <c r="U41" i="159"/>
  <c r="M38" i="159"/>
  <c r="M36" i="159"/>
  <c r="M37" i="159" s="1"/>
  <c r="J93" i="164"/>
  <c r="J92" i="164"/>
  <c r="J91" i="164"/>
  <c r="N41" i="164"/>
  <c r="N42" i="164"/>
  <c r="P93" i="159"/>
  <c r="P92" i="159"/>
  <c r="P91" i="159"/>
  <c r="T36" i="164"/>
  <c r="T37" i="164" s="1"/>
  <c r="T38" i="164"/>
  <c r="T42" i="159"/>
  <c r="T41" i="159"/>
  <c r="N41" i="159"/>
  <c r="N42" i="159"/>
  <c r="O42" i="164"/>
  <c r="O41" i="164"/>
  <c r="T93" i="164"/>
  <c r="T92" i="164"/>
  <c r="U87" i="164"/>
  <c r="U88" i="164" s="1"/>
  <c r="U89" i="164"/>
  <c r="G24" i="161"/>
  <c r="X33" i="159"/>
  <c r="I34" i="159"/>
  <c r="K175" i="162"/>
  <c r="I175" i="162" s="1"/>
  <c r="K176" i="162"/>
  <c r="I176" i="162" s="1"/>
  <c r="M161" i="162"/>
  <c r="K161" i="162" s="1"/>
  <c r="M162" i="162"/>
  <c r="K162" i="162" s="1"/>
  <c r="I162" i="162" s="1"/>
  <c r="N85" i="159"/>
  <c r="K204" i="162"/>
  <c r="I204" i="162" s="1"/>
  <c r="K205" i="162"/>
  <c r="I205" i="162" s="1"/>
  <c r="M190" i="162"/>
  <c r="K190" i="162" s="1"/>
  <c r="I190" i="162" s="1"/>
  <c r="M191" i="162"/>
  <c r="K191" i="162" s="1"/>
  <c r="I191" i="162" s="1"/>
  <c r="O85" i="159"/>
  <c r="I93" i="159"/>
  <c r="X83" i="159"/>
  <c r="I92" i="159"/>
  <c r="I91" i="159"/>
  <c r="S89" i="159"/>
  <c r="S87" i="159"/>
  <c r="S88" i="159" s="1"/>
  <c r="P36" i="164"/>
  <c r="P37" i="164" s="1"/>
  <c r="P38" i="164"/>
  <c r="K146" i="162"/>
  <c r="I146" i="162" s="1"/>
  <c r="K147" i="162"/>
  <c r="I147" i="162" s="1"/>
  <c r="M132" i="162"/>
  <c r="K132" i="162" s="1"/>
  <c r="M133" i="162"/>
  <c r="K133" i="162" s="1"/>
  <c r="I133" i="162" s="1"/>
  <c r="M85" i="159"/>
  <c r="K59" i="162"/>
  <c r="I59" i="162" s="1"/>
  <c r="K60" i="162"/>
  <c r="I60" i="162" s="1"/>
  <c r="M45" i="162"/>
  <c r="K45" i="162" s="1"/>
  <c r="M46" i="162"/>
  <c r="K46" i="162" s="1"/>
  <c r="I46" i="162" s="1"/>
  <c r="J85" i="159"/>
  <c r="Q87" i="159"/>
  <c r="Q88" i="159" s="1"/>
  <c r="Q89" i="159"/>
  <c r="P36" i="159"/>
  <c r="P37" i="159" s="1"/>
  <c r="P38" i="159"/>
  <c r="L89" i="164"/>
  <c r="L87" i="164"/>
  <c r="L88" i="164" s="1"/>
  <c r="X84" i="164"/>
  <c r="I85" i="164"/>
  <c r="Q38" i="159"/>
  <c r="Q36" i="159"/>
  <c r="Q37" i="159" s="1"/>
  <c r="K89" i="164"/>
  <c r="K87" i="164"/>
  <c r="K88" i="164" s="1"/>
  <c r="R38" i="164"/>
  <c r="R36" i="164"/>
  <c r="R37" i="164" s="1"/>
  <c r="Q87" i="164"/>
  <c r="Q88" i="164" s="1"/>
  <c r="Q89" i="164"/>
  <c r="V38" i="159"/>
  <c r="V36" i="159"/>
  <c r="V37" i="159" s="1"/>
  <c r="G15" i="165"/>
  <c r="G16" i="165" s="1"/>
  <c r="M13" i="167"/>
  <c r="K13" i="167" s="1"/>
  <c r="L36" i="164"/>
  <c r="L37" i="164" s="1"/>
  <c r="L38" i="164"/>
  <c r="S89" i="164"/>
  <c r="S87" i="164"/>
  <c r="S88" i="164" s="1"/>
  <c r="U38" i="159"/>
  <c r="U36" i="159"/>
  <c r="U37" i="159" s="1"/>
  <c r="K55" i="167" l="1"/>
  <c r="I55" i="167" s="1"/>
  <c r="I31" i="167"/>
  <c r="M33" i="167"/>
  <c r="M32" i="167"/>
  <c r="K32" i="167" s="1"/>
  <c r="M7" i="167"/>
  <c r="K177" i="162"/>
  <c r="I177" i="162" s="1"/>
  <c r="K178" i="162"/>
  <c r="I178" i="162" s="1"/>
  <c r="K30" i="162"/>
  <c r="I30" i="162" s="1"/>
  <c r="K32" i="162"/>
  <c r="I32" i="162" s="1"/>
  <c r="K61" i="162"/>
  <c r="I61" i="162" s="1"/>
  <c r="K62" i="162"/>
  <c r="I62" i="162" s="1"/>
  <c r="K91" i="162"/>
  <c r="I91" i="162" s="1"/>
  <c r="K90" i="162"/>
  <c r="I90" i="162" s="1"/>
  <c r="K206" i="162"/>
  <c r="I206" i="162" s="1"/>
  <c r="K207" i="162"/>
  <c r="I207" i="162" s="1"/>
  <c r="K148" i="162"/>
  <c r="I148" i="162" s="1"/>
  <c r="K149" i="162"/>
  <c r="I149" i="162" s="1"/>
  <c r="K119" i="162"/>
  <c r="I119" i="162" s="1"/>
  <c r="K120" i="162"/>
  <c r="I120" i="162" s="1"/>
  <c r="I132" i="162"/>
  <c r="I74" i="162"/>
  <c r="I103" i="162"/>
  <c r="I161" i="162"/>
  <c r="I45" i="162"/>
  <c r="O14" i="157"/>
  <c r="I87" i="164"/>
  <c r="X85" i="164"/>
  <c r="I89" i="164"/>
  <c r="O89" i="159"/>
  <c r="O87" i="159"/>
  <c r="O88" i="159" s="1"/>
  <c r="O44" i="164"/>
  <c r="O46" i="164" s="1"/>
  <c r="O45" i="164"/>
  <c r="T45" i="159"/>
  <c r="T44" i="159"/>
  <c r="T46" i="159" s="1"/>
  <c r="N45" i="164"/>
  <c r="N44" i="164"/>
  <c r="N46" i="164" s="1"/>
  <c r="J95" i="164"/>
  <c r="J97" i="164" s="1"/>
  <c r="J96" i="164"/>
  <c r="S96" i="164"/>
  <c r="S95" i="164"/>
  <c r="S97" i="164" s="1"/>
  <c r="L44" i="164"/>
  <c r="L46" i="164" s="1"/>
  <c r="L45" i="164"/>
  <c r="K94" i="164"/>
  <c r="Q44" i="159"/>
  <c r="Q46" i="159" s="1"/>
  <c r="Q45" i="159"/>
  <c r="L94" i="164"/>
  <c r="P45" i="159"/>
  <c r="P44" i="159"/>
  <c r="P46" i="159" s="1"/>
  <c r="M94" i="159"/>
  <c r="P45" i="164"/>
  <c r="P44" i="164"/>
  <c r="P46" i="164" s="1"/>
  <c r="O96" i="159"/>
  <c r="O95" i="159"/>
  <c r="O97" i="159" s="1"/>
  <c r="U94" i="164"/>
  <c r="T43" i="164"/>
  <c r="J45" i="164"/>
  <c r="J44" i="164"/>
  <c r="J46" i="164" s="1"/>
  <c r="I87" i="159"/>
  <c r="X85" i="159"/>
  <c r="I89" i="159"/>
  <c r="X69" i="159"/>
  <c r="G18" i="165"/>
  <c r="G17" i="165"/>
  <c r="M16" i="167" s="1"/>
  <c r="K16" i="167" s="1"/>
  <c r="I16" i="167" s="1"/>
  <c r="X18" i="164"/>
  <c r="G20" i="161"/>
  <c r="AA88" i="156"/>
  <c r="AD87" i="156"/>
  <c r="X40" i="159"/>
  <c r="K96" i="159"/>
  <c r="K95" i="159"/>
  <c r="K97" i="159" s="1"/>
  <c r="L45" i="159"/>
  <c r="L44" i="159"/>
  <c r="L46" i="159" s="1"/>
  <c r="O94" i="164"/>
  <c r="V45" i="164"/>
  <c r="V44" i="164"/>
  <c r="V46" i="164" s="1"/>
  <c r="U94" i="159"/>
  <c r="W94" i="159"/>
  <c r="K45" i="159"/>
  <c r="K44" i="159"/>
  <c r="K46" i="159" s="1"/>
  <c r="K44" i="164"/>
  <c r="K46" i="164" s="1"/>
  <c r="K45" i="164"/>
  <c r="W43" i="164"/>
  <c r="R95" i="159"/>
  <c r="R97" i="159" s="1"/>
  <c r="R96" i="159"/>
  <c r="S43" i="164"/>
  <c r="X41" i="164"/>
  <c r="I43" i="164"/>
  <c r="O45" i="159"/>
  <c r="O44" i="159"/>
  <c r="O46" i="159" s="1"/>
  <c r="M243" i="167"/>
  <c r="K243" i="167" s="1"/>
  <c r="I243" i="167" s="1"/>
  <c r="M251" i="167"/>
  <c r="K251" i="167" s="1"/>
  <c r="I251" i="167" s="1"/>
  <c r="M242" i="167"/>
  <c r="K242" i="167" s="1"/>
  <c r="M250" i="167"/>
  <c r="K250" i="167" s="1"/>
  <c r="X69" i="164"/>
  <c r="X92" i="159"/>
  <c r="I94" i="159"/>
  <c r="N89" i="159"/>
  <c r="N87" i="159"/>
  <c r="N88" i="159" s="1"/>
  <c r="T94" i="164"/>
  <c r="N45" i="159"/>
  <c r="N44" i="159"/>
  <c r="N46" i="159" s="1"/>
  <c r="N43" i="164"/>
  <c r="U43" i="159"/>
  <c r="S94" i="164"/>
  <c r="V45" i="159"/>
  <c r="V44" i="159"/>
  <c r="V46" i="159" s="1"/>
  <c r="R45" i="164"/>
  <c r="R44" i="164"/>
  <c r="R46" i="164" s="1"/>
  <c r="O47" i="156"/>
  <c r="M47" i="156"/>
  <c r="L96" i="164"/>
  <c r="L95" i="164"/>
  <c r="L97" i="164" s="1"/>
  <c r="J94" i="159"/>
  <c r="M96" i="159"/>
  <c r="M95" i="159"/>
  <c r="M97" i="159" s="1"/>
  <c r="O94" i="159"/>
  <c r="U96" i="164"/>
  <c r="U95" i="164"/>
  <c r="U97" i="164" s="1"/>
  <c r="T44" i="164"/>
  <c r="T46" i="164" s="1"/>
  <c r="T45" i="164"/>
  <c r="M134" i="162"/>
  <c r="M137" i="162"/>
  <c r="M43" i="159"/>
  <c r="J43" i="164"/>
  <c r="X92" i="164"/>
  <c r="I94" i="164"/>
  <c r="I44" i="159"/>
  <c r="I46" i="159" s="1"/>
  <c r="X42" i="159"/>
  <c r="I45" i="159"/>
  <c r="K94" i="159"/>
  <c r="T94" i="159"/>
  <c r="S43" i="159"/>
  <c r="V94" i="159"/>
  <c r="V43" i="164"/>
  <c r="U96" i="159"/>
  <c r="U95" i="159"/>
  <c r="U97" i="159" s="1"/>
  <c r="R94" i="164"/>
  <c r="M43" i="164"/>
  <c r="U43" i="164"/>
  <c r="W44" i="164"/>
  <c r="W46" i="164" s="1"/>
  <c r="W45" i="164"/>
  <c r="W96" i="164"/>
  <c r="W95" i="164"/>
  <c r="W97" i="164" s="1"/>
  <c r="S44" i="164"/>
  <c r="S46" i="164" s="1"/>
  <c r="S45" i="164"/>
  <c r="K41" i="167"/>
  <c r="I41" i="167" s="1"/>
  <c r="G20" i="165"/>
  <c r="G21" i="165" s="1"/>
  <c r="X40" i="164"/>
  <c r="R45" i="159"/>
  <c r="R44" i="159"/>
  <c r="R46" i="159" s="1"/>
  <c r="I13" i="167"/>
  <c r="M14" i="167"/>
  <c r="K14" i="167" s="1"/>
  <c r="J89" i="159"/>
  <c r="J87" i="159"/>
  <c r="J88" i="159" s="1"/>
  <c r="X91" i="159"/>
  <c r="X34" i="159"/>
  <c r="I38" i="159"/>
  <c r="I36" i="159"/>
  <c r="T96" i="164"/>
  <c r="T95" i="164"/>
  <c r="T97" i="164" s="1"/>
  <c r="M163" i="162"/>
  <c r="M166" i="162"/>
  <c r="N43" i="159"/>
  <c r="P94" i="159"/>
  <c r="U44" i="159"/>
  <c r="U46" i="159" s="1"/>
  <c r="U45" i="159"/>
  <c r="V43" i="159"/>
  <c r="Q94" i="164"/>
  <c r="R43" i="164"/>
  <c r="G15" i="161"/>
  <c r="G16" i="161" s="1"/>
  <c r="Q94" i="159"/>
  <c r="J95" i="159"/>
  <c r="J97" i="159" s="1"/>
  <c r="J96" i="159"/>
  <c r="S96" i="159"/>
  <c r="S95" i="159"/>
  <c r="S97" i="159" s="1"/>
  <c r="N94" i="159"/>
  <c r="K89" i="159"/>
  <c r="K87" i="159"/>
  <c r="K88" i="159" s="1"/>
  <c r="M44" i="159"/>
  <c r="M46" i="159" s="1"/>
  <c r="M45" i="159"/>
  <c r="X91" i="164"/>
  <c r="I12" i="162"/>
  <c r="T96" i="159"/>
  <c r="T95" i="159"/>
  <c r="T97" i="159" s="1"/>
  <c r="Q43" i="164"/>
  <c r="S45" i="159"/>
  <c r="S44" i="159"/>
  <c r="S46" i="159" s="1"/>
  <c r="V95" i="159"/>
  <c r="V97" i="159" s="1"/>
  <c r="V96" i="159"/>
  <c r="N94" i="164"/>
  <c r="W43" i="159"/>
  <c r="J45" i="159"/>
  <c r="J44" i="159"/>
  <c r="J46" i="159" s="1"/>
  <c r="R95" i="164"/>
  <c r="R97" i="164" s="1"/>
  <c r="R96" i="164"/>
  <c r="M94" i="164"/>
  <c r="M45" i="164"/>
  <c r="M44" i="164"/>
  <c r="M46" i="164" s="1"/>
  <c r="U45" i="164"/>
  <c r="U44" i="164"/>
  <c r="U46" i="164" s="1"/>
  <c r="P94" i="164"/>
  <c r="W94" i="164"/>
  <c r="I45" i="164"/>
  <c r="X42" i="164"/>
  <c r="V94" i="164"/>
  <c r="R43" i="159"/>
  <c r="L94" i="159"/>
  <c r="M87" i="159"/>
  <c r="M88" i="159" s="1"/>
  <c r="M89" i="159"/>
  <c r="I96" i="159"/>
  <c r="I95" i="159"/>
  <c r="X93" i="159"/>
  <c r="G17" i="161"/>
  <c r="G18" i="161"/>
  <c r="X18" i="159"/>
  <c r="O43" i="164"/>
  <c r="T43" i="159"/>
  <c r="P96" i="159"/>
  <c r="P95" i="159"/>
  <c r="P97" i="159" s="1"/>
  <c r="J94" i="164"/>
  <c r="L43" i="164"/>
  <c r="Q96" i="164"/>
  <c r="Q95" i="164"/>
  <c r="Q97" i="164" s="1"/>
  <c r="K96" i="164"/>
  <c r="K95" i="164"/>
  <c r="K97" i="164" s="1"/>
  <c r="Q43" i="159"/>
  <c r="P43" i="159"/>
  <c r="Q96" i="159"/>
  <c r="Q95" i="159"/>
  <c r="Q97" i="159" s="1"/>
  <c r="P43" i="164"/>
  <c r="S94" i="159"/>
  <c r="N95" i="159"/>
  <c r="N97" i="159" s="1"/>
  <c r="N96" i="159"/>
  <c r="I96" i="164"/>
  <c r="I95" i="164"/>
  <c r="X93" i="164"/>
  <c r="X34" i="164"/>
  <c r="I38" i="164"/>
  <c r="I36" i="164"/>
  <c r="M14" i="162"/>
  <c r="M19" i="162"/>
  <c r="X41" i="159"/>
  <c r="I43" i="159"/>
  <c r="M105" i="162"/>
  <c r="M108" i="162"/>
  <c r="L43" i="159"/>
  <c r="Q45" i="164"/>
  <c r="Q44" i="164"/>
  <c r="Q46" i="164" s="1"/>
  <c r="O96" i="164"/>
  <c r="O95" i="164"/>
  <c r="O97" i="164" s="1"/>
  <c r="L89" i="159"/>
  <c r="L87" i="159"/>
  <c r="L88" i="159" s="1"/>
  <c r="N95" i="164"/>
  <c r="N97" i="164" s="1"/>
  <c r="N96" i="164"/>
  <c r="W45" i="159"/>
  <c r="W44" i="159"/>
  <c r="W46" i="159" s="1"/>
  <c r="M47" i="162"/>
  <c r="M50" i="162"/>
  <c r="J43" i="159"/>
  <c r="W96" i="159"/>
  <c r="W95" i="159"/>
  <c r="W97" i="159" s="1"/>
  <c r="M96" i="164"/>
  <c r="M95" i="164"/>
  <c r="M97" i="164" s="1"/>
  <c r="M76" i="162"/>
  <c r="M79" i="162"/>
  <c r="K43" i="159"/>
  <c r="K43" i="164"/>
  <c r="P96" i="164"/>
  <c r="P95" i="164"/>
  <c r="P97" i="164" s="1"/>
  <c r="R94" i="159"/>
  <c r="V95" i="164"/>
  <c r="V97" i="164" s="1"/>
  <c r="V96" i="164"/>
  <c r="M192" i="162"/>
  <c r="M195" i="162"/>
  <c r="O43" i="159"/>
  <c r="L96" i="159"/>
  <c r="L95" i="159"/>
  <c r="L97" i="159" s="1"/>
  <c r="K33" i="167" l="1"/>
  <c r="I33" i="167" s="1"/>
  <c r="I47" i="159"/>
  <c r="I32" i="167"/>
  <c r="I14" i="167"/>
  <c r="T47" i="159"/>
  <c r="N47" i="164"/>
  <c r="W98" i="164"/>
  <c r="J47" i="159"/>
  <c r="L47" i="159"/>
  <c r="L47" i="164"/>
  <c r="K47" i="164"/>
  <c r="V47" i="164"/>
  <c r="U98" i="164"/>
  <c r="W47" i="164"/>
  <c r="V47" i="159"/>
  <c r="W98" i="159"/>
  <c r="W47" i="159"/>
  <c r="V98" i="164"/>
  <c r="I208" i="162"/>
  <c r="CM27" i="157" s="1"/>
  <c r="I179" i="162"/>
  <c r="CH27" i="157" s="1"/>
  <c r="I150" i="162"/>
  <c r="CC27" i="157" s="1"/>
  <c r="I121" i="162"/>
  <c r="BX27" i="157" s="1"/>
  <c r="I92" i="162"/>
  <c r="BS27" i="157" s="1"/>
  <c r="I63" i="162"/>
  <c r="BN27" i="157" s="1"/>
  <c r="O47" i="164"/>
  <c r="R47" i="164"/>
  <c r="R47" i="159"/>
  <c r="S98" i="164"/>
  <c r="K98" i="159"/>
  <c r="P47" i="164"/>
  <c r="J98" i="164"/>
  <c r="N98" i="159"/>
  <c r="R98" i="159"/>
  <c r="Q47" i="159"/>
  <c r="O47" i="159"/>
  <c r="L98" i="159"/>
  <c r="K47" i="159"/>
  <c r="P47" i="159"/>
  <c r="Q98" i="164"/>
  <c r="T47" i="164"/>
  <c r="Q47" i="164"/>
  <c r="R98" i="164"/>
  <c r="S47" i="164"/>
  <c r="N47" i="159"/>
  <c r="O98" i="159"/>
  <c r="K47" i="167"/>
  <c r="I47" i="167" s="1"/>
  <c r="M17" i="167"/>
  <c r="K17" i="167" s="1"/>
  <c r="I17" i="167" s="1"/>
  <c r="M15" i="167"/>
  <c r="K15" i="167" s="1"/>
  <c r="K46" i="167"/>
  <c r="I46" i="167" s="1"/>
  <c r="J98" i="159"/>
  <c r="M47" i="159"/>
  <c r="J47" i="164"/>
  <c r="N98" i="164"/>
  <c r="L98" i="164"/>
  <c r="S98" i="159"/>
  <c r="X96" i="164"/>
  <c r="P98" i="164"/>
  <c r="M98" i="164"/>
  <c r="O98" i="164"/>
  <c r="K98" i="164"/>
  <c r="S47" i="159"/>
  <c r="T98" i="164"/>
  <c r="U98" i="159"/>
  <c r="Q98" i="159"/>
  <c r="P98" i="159"/>
  <c r="M47" i="164"/>
  <c r="V98" i="159"/>
  <c r="U47" i="159"/>
  <c r="U47" i="164"/>
  <c r="T98" i="159"/>
  <c r="M98" i="159"/>
  <c r="M51" i="162"/>
  <c r="K51" i="162" s="1"/>
  <c r="I51" i="162" s="1"/>
  <c r="K50" i="162"/>
  <c r="I50" i="162" s="1"/>
  <c r="M52" i="162"/>
  <c r="K52" i="162" s="1"/>
  <c r="I52" i="162" s="1"/>
  <c r="M196" i="162"/>
  <c r="K196" i="162" s="1"/>
  <c r="I196" i="162" s="1"/>
  <c r="K195" i="162"/>
  <c r="I195" i="162" s="1"/>
  <c r="M197" i="162"/>
  <c r="K197" i="162" s="1"/>
  <c r="I197" i="162" s="1"/>
  <c r="M48" i="162"/>
  <c r="K48" i="162" s="1"/>
  <c r="I48" i="162" s="1"/>
  <c r="K47" i="162"/>
  <c r="M49" i="162"/>
  <c r="K49" i="162" s="1"/>
  <c r="I49" i="162" s="1"/>
  <c r="G22" i="161"/>
  <c r="M15" i="162"/>
  <c r="K15" i="162" s="1"/>
  <c r="I15" i="162" s="1"/>
  <c r="K14" i="162"/>
  <c r="M16" i="162"/>
  <c r="K16" i="162" s="1"/>
  <c r="I16" i="162" s="1"/>
  <c r="X96" i="159"/>
  <c r="M8" i="167"/>
  <c r="K8" i="167" s="1"/>
  <c r="I8" i="167" s="1"/>
  <c r="K7" i="167"/>
  <c r="M167" i="162"/>
  <c r="K167" i="162" s="1"/>
  <c r="I167" i="162" s="1"/>
  <c r="K166" i="162"/>
  <c r="I166" i="162" s="1"/>
  <c r="M168" i="162"/>
  <c r="K168" i="162" s="1"/>
  <c r="I168" i="162" s="1"/>
  <c r="X44" i="159"/>
  <c r="M135" i="162"/>
  <c r="K135" i="162" s="1"/>
  <c r="I135" i="162" s="1"/>
  <c r="K134" i="162"/>
  <c r="M136" i="162"/>
  <c r="K136" i="162" s="1"/>
  <c r="I136" i="162" s="1"/>
  <c r="X99" i="159"/>
  <c r="M77" i="162"/>
  <c r="K77" i="162" s="1"/>
  <c r="I77" i="162" s="1"/>
  <c r="K76" i="162"/>
  <c r="M78" i="162"/>
  <c r="K78" i="162" s="1"/>
  <c r="I78" i="162" s="1"/>
  <c r="M109" i="162"/>
  <c r="K109" i="162" s="1"/>
  <c r="I109" i="162" s="1"/>
  <c r="K108" i="162"/>
  <c r="I108" i="162" s="1"/>
  <c r="M110" i="162"/>
  <c r="K110" i="162" s="1"/>
  <c r="I110" i="162" s="1"/>
  <c r="M20" i="162"/>
  <c r="K20" i="162" s="1"/>
  <c r="I20" i="162" s="1"/>
  <c r="K19" i="162"/>
  <c r="I19" i="162" s="1"/>
  <c r="M21" i="162"/>
  <c r="K21" i="162" s="1"/>
  <c r="I21" i="162" s="1"/>
  <c r="X36" i="164"/>
  <c r="I37" i="164"/>
  <c r="X37" i="164" s="1"/>
  <c r="K57" i="167" s="1"/>
  <c r="X95" i="164"/>
  <c r="X44" i="164"/>
  <c r="J33" i="157" s="1"/>
  <c r="X38" i="159"/>
  <c r="I97" i="164"/>
  <c r="X97" i="164" s="1"/>
  <c r="X94" i="159"/>
  <c r="K252" i="167"/>
  <c r="I250" i="167"/>
  <c r="I252" i="167" s="1"/>
  <c r="K186" i="167"/>
  <c r="I186" i="167" s="1"/>
  <c r="I187" i="167" s="1"/>
  <c r="G22" i="165"/>
  <c r="G21" i="161"/>
  <c r="AD89" i="156"/>
  <c r="I88" i="159"/>
  <c r="X88" i="159" s="1"/>
  <c r="X87" i="159"/>
  <c r="X89" i="164"/>
  <c r="M193" i="162"/>
  <c r="K193" i="162" s="1"/>
  <c r="I193" i="162" s="1"/>
  <c r="K192" i="162"/>
  <c r="I192" i="162" s="1"/>
  <c r="M194" i="162"/>
  <c r="K194" i="162" s="1"/>
  <c r="X43" i="159"/>
  <c r="X38" i="164"/>
  <c r="X45" i="164"/>
  <c r="M164" i="162"/>
  <c r="K164" i="162" s="1"/>
  <c r="I164" i="162" s="1"/>
  <c r="K163" i="162"/>
  <c r="M165" i="162"/>
  <c r="K165" i="162" s="1"/>
  <c r="I165" i="162" s="1"/>
  <c r="X36" i="159"/>
  <c r="I37" i="159"/>
  <c r="X37" i="159" s="1"/>
  <c r="X48" i="159"/>
  <c r="X45" i="159"/>
  <c r="X94" i="164"/>
  <c r="M138" i="162"/>
  <c r="K138" i="162" s="1"/>
  <c r="I138" i="162" s="1"/>
  <c r="K137" i="162"/>
  <c r="I137" i="162" s="1"/>
  <c r="M139" i="162"/>
  <c r="K139" i="162" s="1"/>
  <c r="I242" i="167"/>
  <c r="I244" i="167" s="1"/>
  <c r="K244" i="167"/>
  <c r="I46" i="164"/>
  <c r="X46" i="164" s="1"/>
  <c r="X99" i="164"/>
  <c r="M80" i="162"/>
  <c r="K80" i="162" s="1"/>
  <c r="I80" i="162" s="1"/>
  <c r="K79" i="162"/>
  <c r="I79" i="162" s="1"/>
  <c r="M81" i="162"/>
  <c r="K81" i="162" s="1"/>
  <c r="I81" i="162" s="1"/>
  <c r="M106" i="162"/>
  <c r="K106" i="162" s="1"/>
  <c r="I106" i="162" s="1"/>
  <c r="K105" i="162"/>
  <c r="M107" i="162"/>
  <c r="K107" i="162" s="1"/>
  <c r="I107" i="162" s="1"/>
  <c r="X46" i="159"/>
  <c r="X48" i="164"/>
  <c r="X95" i="159"/>
  <c r="I97" i="159"/>
  <c r="X97" i="159" s="1"/>
  <c r="X43" i="164"/>
  <c r="X89" i="159"/>
  <c r="I88" i="164"/>
  <c r="X88" i="164" s="1"/>
  <c r="X87" i="164"/>
  <c r="I57" i="167" l="1"/>
  <c r="K191" i="167"/>
  <c r="I191" i="167" s="1"/>
  <c r="I192" i="167" s="1"/>
  <c r="J32" i="157"/>
  <c r="W49" i="159"/>
  <c r="I15" i="167"/>
  <c r="W100" i="164"/>
  <c r="W51" i="164"/>
  <c r="I105" i="162"/>
  <c r="I111" i="162" s="1"/>
  <c r="BX26" i="157" s="1"/>
  <c r="K111" i="162"/>
  <c r="BX25" i="157" s="1"/>
  <c r="K53" i="162"/>
  <c r="BN25" i="157" s="1"/>
  <c r="I163" i="162"/>
  <c r="I169" i="162" s="1"/>
  <c r="CH26" i="157" s="1"/>
  <c r="K169" i="162"/>
  <c r="CH25" i="157" s="1"/>
  <c r="I76" i="162"/>
  <c r="I82" i="162" s="1"/>
  <c r="BS26" i="157" s="1"/>
  <c r="K82" i="162"/>
  <c r="BS25" i="157" s="1"/>
  <c r="I134" i="162"/>
  <c r="K140" i="162"/>
  <c r="CC25" i="157" s="1"/>
  <c r="I194" i="162"/>
  <c r="I198" i="162" s="1"/>
  <c r="CM26" i="157" s="1"/>
  <c r="K198" i="162"/>
  <c r="CM25" i="157" s="1"/>
  <c r="I139" i="162"/>
  <c r="I47" i="162"/>
  <c r="X47" i="159"/>
  <c r="X49" i="159" s="1"/>
  <c r="I98" i="164"/>
  <c r="X98" i="164" s="1"/>
  <c r="X100" i="164" s="1"/>
  <c r="K246" i="167"/>
  <c r="I246" i="167" s="1"/>
  <c r="I247" i="167" s="1"/>
  <c r="K254" i="167"/>
  <c r="I254" i="167" s="1"/>
  <c r="I255" i="167" s="1"/>
  <c r="M234" i="167"/>
  <c r="K234" i="167" s="1"/>
  <c r="M30" i="167"/>
  <c r="K30" i="167" s="1"/>
  <c r="I30" i="167" s="1"/>
  <c r="K238" i="167"/>
  <c r="I238" i="167" s="1"/>
  <c r="I239" i="167" s="1"/>
  <c r="M235" i="167"/>
  <c r="K235" i="167" s="1"/>
  <c r="I235" i="167" s="1"/>
  <c r="M29" i="167"/>
  <c r="K29" i="167" s="1"/>
  <c r="I29" i="167" s="1"/>
  <c r="X101" i="164"/>
  <c r="Y88" i="164"/>
  <c r="W99" i="159"/>
  <c r="V102" i="159" s="1"/>
  <c r="W101" i="159"/>
  <c r="I47" i="164"/>
  <c r="W100" i="159"/>
  <c r="W102" i="164"/>
  <c r="W48" i="164"/>
  <c r="W50" i="164"/>
  <c r="X50" i="164"/>
  <c r="Y37" i="164"/>
  <c r="K58" i="167"/>
  <c r="I58" i="167" s="1"/>
  <c r="K48" i="167"/>
  <c r="I48" i="167" s="1"/>
  <c r="M34" i="167"/>
  <c r="M18" i="167"/>
  <c r="K18" i="167" s="1"/>
  <c r="W49" i="164"/>
  <c r="W51" i="159"/>
  <c r="Y88" i="159"/>
  <c r="X101" i="159"/>
  <c r="W99" i="164"/>
  <c r="W101" i="164"/>
  <c r="E201" i="167"/>
  <c r="F201" i="167"/>
  <c r="J26" i="157" s="1"/>
  <c r="AD26" i="157" s="1"/>
  <c r="X50" i="159"/>
  <c r="Y37" i="159"/>
  <c r="I14" i="162"/>
  <c r="K33" i="162"/>
  <c r="I33" i="162" s="1"/>
  <c r="W48" i="159"/>
  <c r="W50" i="159"/>
  <c r="M17" i="162"/>
  <c r="K17" i="162" s="1"/>
  <c r="I17" i="162" s="1"/>
  <c r="K31" i="162"/>
  <c r="I31" i="162" s="1"/>
  <c r="M18" i="162"/>
  <c r="K18" i="162" s="1"/>
  <c r="I18" i="162" s="1"/>
  <c r="I98" i="159"/>
  <c r="I7" i="167"/>
  <c r="W102" i="159"/>
  <c r="X51" i="159" l="1"/>
  <c r="I34" i="162"/>
  <c r="I22" i="162"/>
  <c r="I140" i="162"/>
  <c r="CC26" i="157" s="1"/>
  <c r="K22" i="162"/>
  <c r="I53" i="162"/>
  <c r="BN26" i="157" s="1"/>
  <c r="V100" i="159"/>
  <c r="X102" i="164"/>
  <c r="V48" i="159"/>
  <c r="V50" i="159"/>
  <c r="V51" i="159"/>
  <c r="V49" i="159"/>
  <c r="K236" i="167"/>
  <c r="I234" i="167"/>
  <c r="I236" i="167" s="1"/>
  <c r="V99" i="164"/>
  <c r="V101" i="164"/>
  <c r="V100" i="164"/>
  <c r="V102" i="164"/>
  <c r="M20" i="167"/>
  <c r="K20" i="167" s="1"/>
  <c r="I20" i="167" s="1"/>
  <c r="M19" i="167"/>
  <c r="K19" i="167" s="1"/>
  <c r="I19" i="167" s="1"/>
  <c r="V48" i="164"/>
  <c r="V50" i="164"/>
  <c r="V49" i="164"/>
  <c r="V51" i="164"/>
  <c r="X98" i="159"/>
  <c r="AR10" i="157"/>
  <c r="AI26" i="157"/>
  <c r="K34" i="167"/>
  <c r="I34" i="167" s="1"/>
  <c r="M35" i="167"/>
  <c r="K35" i="167" s="1"/>
  <c r="I35" i="167" s="1"/>
  <c r="M36" i="167"/>
  <c r="K36" i="167" s="1"/>
  <c r="I36" i="167" s="1"/>
  <c r="X47" i="164"/>
  <c r="V99" i="159"/>
  <c r="V101" i="159"/>
  <c r="X49" i="164" l="1"/>
  <c r="X51" i="164"/>
  <c r="K59" i="167" s="1"/>
  <c r="X100" i="159"/>
  <c r="X102" i="159"/>
  <c r="U48" i="164"/>
  <c r="U50" i="164"/>
  <c r="U49" i="164"/>
  <c r="U51" i="164"/>
  <c r="F257" i="162"/>
  <c r="E257" i="162"/>
  <c r="BD25" i="157"/>
  <c r="CR25" i="157" s="1"/>
  <c r="J7" i="157" s="1"/>
  <c r="U99" i="159"/>
  <c r="U101" i="159"/>
  <c r="U100" i="159"/>
  <c r="U102" i="159"/>
  <c r="F259" i="162"/>
  <c r="E259" i="162"/>
  <c r="BD27" i="157"/>
  <c r="CR27" i="157" s="1"/>
  <c r="J11" i="157" s="1"/>
  <c r="AD11" i="157" s="1"/>
  <c r="F258" i="162"/>
  <c r="E258" i="162"/>
  <c r="BD26" i="157"/>
  <c r="CR26" i="157" s="1"/>
  <c r="J10" i="157" s="1"/>
  <c r="I18" i="167"/>
  <c r="U48" i="159"/>
  <c r="U50" i="159"/>
  <c r="U49" i="159"/>
  <c r="U51" i="159"/>
  <c r="U99" i="164"/>
  <c r="U101" i="164"/>
  <c r="U100" i="164"/>
  <c r="U102" i="164"/>
  <c r="I59" i="167" l="1"/>
  <c r="I60" i="167" s="1"/>
  <c r="E263" i="162"/>
  <c r="AQ8" i="157"/>
  <c r="J14" i="157"/>
  <c r="AD14" i="157" s="1"/>
  <c r="AD10" i="157"/>
  <c r="J15" i="157"/>
  <c r="AD15" i="157" s="1"/>
  <c r="AQ7" i="157"/>
  <c r="T48" i="164"/>
  <c r="T50" i="164"/>
  <c r="T49" i="164"/>
  <c r="T51" i="164"/>
  <c r="T99" i="164"/>
  <c r="T101" i="164"/>
  <c r="T100" i="164"/>
  <c r="T102" i="164"/>
  <c r="T48" i="159"/>
  <c r="T51" i="159"/>
  <c r="T50" i="159"/>
  <c r="T49" i="159"/>
  <c r="T99" i="159"/>
  <c r="T101" i="159"/>
  <c r="T100" i="159"/>
  <c r="T102" i="159"/>
  <c r="F263" i="162"/>
  <c r="AD7" i="157"/>
  <c r="J8" i="157"/>
  <c r="AD8" i="157" s="1"/>
  <c r="F199" i="167" l="1"/>
  <c r="J24" i="157" s="1"/>
  <c r="AD24" i="157" s="1"/>
  <c r="AI24" i="157" s="1"/>
  <c r="E199" i="167"/>
  <c r="S99" i="159"/>
  <c r="S100" i="159"/>
  <c r="S48" i="159"/>
  <c r="S49" i="159"/>
  <c r="S99" i="164"/>
  <c r="S100" i="164"/>
  <c r="S48" i="164"/>
  <c r="S49" i="164"/>
  <c r="S50" i="159"/>
  <c r="S51" i="159"/>
  <c r="S102" i="164"/>
  <c r="S101" i="164"/>
  <c r="S50" i="164"/>
  <c r="S51" i="164"/>
  <c r="AQ12" i="157"/>
  <c r="AQ6" i="157"/>
  <c r="S101" i="159"/>
  <c r="S102" i="159"/>
  <c r="AQ11" i="157"/>
  <c r="AR8" i="157" l="1"/>
  <c r="R48" i="159"/>
  <c r="R50" i="159"/>
  <c r="R51" i="159"/>
  <c r="R49" i="159"/>
  <c r="R48" i="164"/>
  <c r="R50" i="164"/>
  <c r="R51" i="164"/>
  <c r="R49" i="164"/>
  <c r="R99" i="164"/>
  <c r="R101" i="164"/>
  <c r="R102" i="164"/>
  <c r="R100" i="164"/>
  <c r="R99" i="159"/>
  <c r="R101" i="159"/>
  <c r="R100" i="159"/>
  <c r="R102" i="159"/>
  <c r="Q99" i="159" l="1"/>
  <c r="Q101" i="159"/>
  <c r="Q100" i="159"/>
  <c r="Q102" i="159"/>
  <c r="Q99" i="164"/>
  <c r="Q101" i="164"/>
  <c r="Q100" i="164"/>
  <c r="Q102" i="164"/>
  <c r="Q48" i="164"/>
  <c r="Q50" i="164"/>
  <c r="Q49" i="164"/>
  <c r="Q51" i="164"/>
  <c r="Q48" i="159"/>
  <c r="Q50" i="159"/>
  <c r="Q51" i="159"/>
  <c r="Q49" i="159"/>
  <c r="P48" i="159" l="1"/>
  <c r="P50" i="159"/>
  <c r="P49" i="159"/>
  <c r="P51" i="159"/>
  <c r="P99" i="164"/>
  <c r="P101" i="164"/>
  <c r="P100" i="164"/>
  <c r="P102" i="164"/>
  <c r="P99" i="159"/>
  <c r="P101" i="159"/>
  <c r="P100" i="159"/>
  <c r="P102" i="159"/>
  <c r="P48" i="164"/>
  <c r="P50" i="164"/>
  <c r="P51" i="164"/>
  <c r="P49" i="164"/>
  <c r="O48" i="164" l="1"/>
  <c r="O50" i="164"/>
  <c r="O49" i="164"/>
  <c r="O51" i="164"/>
  <c r="O99" i="159"/>
  <c r="O102" i="159"/>
  <c r="O101" i="159"/>
  <c r="O100" i="159"/>
  <c r="O99" i="164"/>
  <c r="O101" i="164"/>
  <c r="O102" i="164"/>
  <c r="O100" i="164"/>
  <c r="O48" i="159"/>
  <c r="O50" i="159"/>
  <c r="O49" i="159"/>
  <c r="O51" i="159"/>
  <c r="N48" i="159" l="1"/>
  <c r="N50" i="159"/>
  <c r="N51" i="159"/>
  <c r="N49" i="159"/>
  <c r="N99" i="164"/>
  <c r="N101" i="164"/>
  <c r="N100" i="164"/>
  <c r="N102" i="164"/>
  <c r="N99" i="159"/>
  <c r="N100" i="159"/>
  <c r="N102" i="159"/>
  <c r="N101" i="159"/>
  <c r="N48" i="164"/>
  <c r="N50" i="164"/>
  <c r="N51" i="164"/>
  <c r="N49" i="164"/>
  <c r="J12" i="129"/>
  <c r="BN17" i="129"/>
  <c r="BN15" i="129"/>
  <c r="BD17" i="129"/>
  <c r="BD10" i="129"/>
  <c r="CM10" i="129"/>
  <c r="CH10" i="129"/>
  <c r="CC10" i="129"/>
  <c r="BX10" i="129"/>
  <c r="BS10" i="129"/>
  <c r="BN10" i="129"/>
  <c r="BN30" i="129"/>
  <c r="BD15" i="129"/>
  <c r="BI30" i="129"/>
  <c r="BD30" i="129"/>
  <c r="CM24" i="129"/>
  <c r="CH24" i="129"/>
  <c r="CC24" i="129"/>
  <c r="BX24" i="129"/>
  <c r="BS24" i="129"/>
  <c r="BN24" i="129"/>
  <c r="BD24" i="129"/>
  <c r="CM23" i="129"/>
  <c r="CH23" i="129"/>
  <c r="CC23" i="129"/>
  <c r="BX23" i="129"/>
  <c r="BS23" i="129"/>
  <c r="BN23" i="129"/>
  <c r="BD23" i="129"/>
  <c r="BN16" i="129" l="1"/>
  <c r="BN33" i="129" s="1"/>
  <c r="BN32" i="129"/>
  <c r="M48" i="164"/>
  <c r="M50" i="164"/>
  <c r="M49" i="164"/>
  <c r="M51" i="164"/>
  <c r="M99" i="159"/>
  <c r="M102" i="159"/>
  <c r="M101" i="159"/>
  <c r="M100" i="159"/>
  <c r="M99" i="164"/>
  <c r="M101" i="164"/>
  <c r="M100" i="164"/>
  <c r="M102" i="164"/>
  <c r="M48" i="159"/>
  <c r="M50" i="159"/>
  <c r="M51" i="159"/>
  <c r="M49" i="159"/>
  <c r="BD16" i="129"/>
  <c r="CM8" i="129"/>
  <c r="CH8" i="129"/>
  <c r="CC8" i="129"/>
  <c r="BX8" i="129"/>
  <c r="BD8" i="129"/>
  <c r="BN8" i="129"/>
  <c r="BS8" i="129"/>
  <c r="V21" i="128"/>
  <c r="AA21" i="128"/>
  <c r="AF21" i="128"/>
  <c r="AK21" i="128"/>
  <c r="E259" i="140"/>
  <c r="Q256" i="140"/>
  <c r="P256" i="140"/>
  <c r="O256" i="140"/>
  <c r="Q255" i="140"/>
  <c r="P255" i="140"/>
  <c r="O255" i="140"/>
  <c r="E255" i="140"/>
  <c r="E251" i="140"/>
  <c r="Q248" i="140"/>
  <c r="P248" i="140"/>
  <c r="O248" i="140"/>
  <c r="Q247" i="140"/>
  <c r="P247" i="140"/>
  <c r="O247" i="140"/>
  <c r="E247" i="140"/>
  <c r="E243" i="140"/>
  <c r="Q240" i="140"/>
  <c r="P240" i="140"/>
  <c r="O240" i="140"/>
  <c r="Q239" i="140"/>
  <c r="P239" i="140"/>
  <c r="O239" i="140"/>
  <c r="E239" i="140"/>
  <c r="C190" i="140"/>
  <c r="I185" i="140"/>
  <c r="I184" i="140"/>
  <c r="M183" i="140"/>
  <c r="D183" i="140"/>
  <c r="C183" i="140"/>
  <c r="M182" i="140"/>
  <c r="D182" i="140"/>
  <c r="C182" i="140"/>
  <c r="M181" i="140"/>
  <c r="D181" i="140"/>
  <c r="C181" i="140"/>
  <c r="M180" i="140"/>
  <c r="D180" i="140"/>
  <c r="C180" i="140"/>
  <c r="M179" i="140"/>
  <c r="D179" i="140"/>
  <c r="C179" i="140"/>
  <c r="M178" i="140"/>
  <c r="D178" i="140"/>
  <c r="C178" i="140"/>
  <c r="M177" i="140"/>
  <c r="D177" i="140"/>
  <c r="C177" i="140"/>
  <c r="M176" i="140"/>
  <c r="D176" i="140"/>
  <c r="C176" i="140"/>
  <c r="M175" i="140"/>
  <c r="D175" i="140"/>
  <c r="C175" i="140"/>
  <c r="M174" i="140"/>
  <c r="D174" i="140"/>
  <c r="C174" i="140"/>
  <c r="M173" i="140"/>
  <c r="D173" i="140"/>
  <c r="C173" i="140"/>
  <c r="M172" i="140"/>
  <c r="D172" i="140"/>
  <c r="C172" i="140"/>
  <c r="M171" i="140"/>
  <c r="D171" i="140"/>
  <c r="C171" i="140"/>
  <c r="M170" i="140"/>
  <c r="D170" i="140"/>
  <c r="C170" i="140"/>
  <c r="K169" i="140"/>
  <c r="I169" i="140" s="1"/>
  <c r="D169" i="140"/>
  <c r="C169" i="140"/>
  <c r="Q153" i="140"/>
  <c r="P153" i="140"/>
  <c r="O153" i="140"/>
  <c r="E146" i="140"/>
  <c r="E145" i="140"/>
  <c r="E147" i="140" s="1"/>
  <c r="Q142" i="140"/>
  <c r="P142" i="140"/>
  <c r="O142" i="140"/>
  <c r="E142" i="140"/>
  <c r="Q141" i="140"/>
  <c r="P141" i="140"/>
  <c r="O141" i="140"/>
  <c r="Q140" i="140"/>
  <c r="P140" i="140"/>
  <c r="O140" i="140"/>
  <c r="E140" i="140"/>
  <c r="Q139" i="140"/>
  <c r="P139" i="140"/>
  <c r="O139" i="140"/>
  <c r="Q138" i="140"/>
  <c r="P138" i="140"/>
  <c r="O138" i="140"/>
  <c r="E138" i="140"/>
  <c r="A136" i="140"/>
  <c r="E133" i="140"/>
  <c r="E132" i="140"/>
  <c r="E131" i="140"/>
  <c r="Q128" i="140"/>
  <c r="P128" i="140"/>
  <c r="O128" i="140"/>
  <c r="E128" i="140"/>
  <c r="Q127" i="140"/>
  <c r="P127" i="140"/>
  <c r="O127" i="140"/>
  <c r="Q126" i="140"/>
  <c r="P126" i="140"/>
  <c r="O126" i="140"/>
  <c r="E126" i="140"/>
  <c r="Q125" i="140"/>
  <c r="P125" i="140"/>
  <c r="O125" i="140"/>
  <c r="Q124" i="140"/>
  <c r="P124" i="140"/>
  <c r="O124" i="140"/>
  <c r="E124" i="140"/>
  <c r="A122" i="140"/>
  <c r="E119" i="140"/>
  <c r="E118" i="140"/>
  <c r="E117" i="140"/>
  <c r="Q114" i="140"/>
  <c r="P114" i="140"/>
  <c r="O114" i="140"/>
  <c r="E114" i="140"/>
  <c r="Q113" i="140"/>
  <c r="P113" i="140"/>
  <c r="O113" i="140"/>
  <c r="Q112" i="140"/>
  <c r="P112" i="140"/>
  <c r="O112" i="140"/>
  <c r="E112" i="140"/>
  <c r="Q111" i="140"/>
  <c r="P111" i="140"/>
  <c r="O111" i="140"/>
  <c r="Q110" i="140"/>
  <c r="P110" i="140"/>
  <c r="O110" i="140"/>
  <c r="E110" i="140"/>
  <c r="A108" i="140"/>
  <c r="E104" i="140"/>
  <c r="E103" i="140"/>
  <c r="E102" i="140"/>
  <c r="Q99" i="140"/>
  <c r="P99" i="140"/>
  <c r="O99" i="140"/>
  <c r="E99" i="140"/>
  <c r="Q98" i="140"/>
  <c r="P98" i="140"/>
  <c r="O98" i="140"/>
  <c r="Q97" i="140"/>
  <c r="P97" i="140"/>
  <c r="O97" i="140"/>
  <c r="E97" i="140"/>
  <c r="Q96" i="140"/>
  <c r="P96" i="140"/>
  <c r="O96" i="140"/>
  <c r="Q95" i="140"/>
  <c r="P95" i="140"/>
  <c r="O95" i="140"/>
  <c r="E95" i="140"/>
  <c r="A93" i="140"/>
  <c r="E89" i="140"/>
  <c r="E88" i="140"/>
  <c r="E87" i="140"/>
  <c r="Q84" i="140"/>
  <c r="P84" i="140"/>
  <c r="O84" i="140"/>
  <c r="E84" i="140"/>
  <c r="Q83" i="140"/>
  <c r="P83" i="140"/>
  <c r="O83" i="140"/>
  <c r="Q82" i="140"/>
  <c r="P82" i="140"/>
  <c r="O82" i="140"/>
  <c r="E82" i="140"/>
  <c r="Q81" i="140"/>
  <c r="P81" i="140"/>
  <c r="O81" i="140"/>
  <c r="Q80" i="140"/>
  <c r="P80" i="140"/>
  <c r="O80" i="140"/>
  <c r="E80" i="140"/>
  <c r="A78" i="140"/>
  <c r="E74" i="140"/>
  <c r="E73" i="140"/>
  <c r="E72" i="140"/>
  <c r="Q69" i="140"/>
  <c r="P69" i="140"/>
  <c r="O69" i="140"/>
  <c r="E69" i="140"/>
  <c r="Q68" i="140"/>
  <c r="P68" i="140"/>
  <c r="O68" i="140"/>
  <c r="Q67" i="140"/>
  <c r="P67" i="140"/>
  <c r="O67" i="140"/>
  <c r="E67" i="140"/>
  <c r="Q66" i="140"/>
  <c r="P66" i="140"/>
  <c r="O66" i="140"/>
  <c r="Q65" i="140"/>
  <c r="P65" i="140"/>
  <c r="O65" i="140"/>
  <c r="E65" i="140"/>
  <c r="A63" i="140"/>
  <c r="E41" i="140"/>
  <c r="E39" i="140"/>
  <c r="E42" i="140" s="1"/>
  <c r="Q36" i="140"/>
  <c r="P36" i="140"/>
  <c r="O36" i="140"/>
  <c r="Q35" i="140"/>
  <c r="P35" i="140"/>
  <c r="O35" i="140"/>
  <c r="Q34" i="140"/>
  <c r="P34" i="140"/>
  <c r="O34" i="140"/>
  <c r="Q30" i="140"/>
  <c r="P30" i="140"/>
  <c r="O30" i="140"/>
  <c r="Q29" i="140"/>
  <c r="P29" i="140"/>
  <c r="O29" i="140"/>
  <c r="Q28" i="140"/>
  <c r="P28" i="140"/>
  <c r="O28" i="140"/>
  <c r="Q27" i="140"/>
  <c r="P27" i="140"/>
  <c r="O27" i="140"/>
  <c r="Q26" i="140"/>
  <c r="P26" i="140"/>
  <c r="O26" i="140"/>
  <c r="P25" i="140"/>
  <c r="O25" i="140"/>
  <c r="U24" i="140"/>
  <c r="U25" i="140" s="1"/>
  <c r="U27" i="140" s="1"/>
  <c r="Q24" i="140"/>
  <c r="P24" i="140"/>
  <c r="O24" i="140"/>
  <c r="Q23" i="140"/>
  <c r="P23" i="140"/>
  <c r="O23" i="140"/>
  <c r="Q22" i="140"/>
  <c r="P22" i="140"/>
  <c r="O22" i="140"/>
  <c r="P21" i="140"/>
  <c r="O21" i="140"/>
  <c r="Q20" i="140"/>
  <c r="P20" i="140"/>
  <c r="O20" i="140"/>
  <c r="Q19" i="140"/>
  <c r="P19" i="140"/>
  <c r="O19" i="140"/>
  <c r="Q18" i="140"/>
  <c r="P18" i="140"/>
  <c r="O18" i="140"/>
  <c r="Q17" i="140"/>
  <c r="P17" i="140"/>
  <c r="O17" i="140"/>
  <c r="Q15" i="140"/>
  <c r="P15" i="140"/>
  <c r="O15" i="140"/>
  <c r="Q14" i="140"/>
  <c r="P14" i="140"/>
  <c r="O14" i="140"/>
  <c r="Q13" i="140"/>
  <c r="P13" i="140"/>
  <c r="O13" i="140"/>
  <c r="Q12" i="140"/>
  <c r="P12" i="140"/>
  <c r="O12" i="140"/>
  <c r="Q11" i="140"/>
  <c r="P11" i="140"/>
  <c r="O11" i="140"/>
  <c r="Q10" i="140"/>
  <c r="P10" i="140"/>
  <c r="O10" i="140"/>
  <c r="Q9" i="140"/>
  <c r="P9" i="140"/>
  <c r="O9" i="140"/>
  <c r="Q8" i="140"/>
  <c r="P8" i="140"/>
  <c r="O8" i="140"/>
  <c r="Q7" i="140"/>
  <c r="P7" i="140"/>
  <c r="O7" i="140"/>
  <c r="E7" i="140"/>
  <c r="Q6" i="140"/>
  <c r="P6" i="140"/>
  <c r="O6" i="140"/>
  <c r="Q5" i="140"/>
  <c r="P5" i="140"/>
  <c r="O5" i="140"/>
  <c r="E9" i="140"/>
  <c r="A3" i="140"/>
  <c r="D81" i="139"/>
  <c r="C81" i="139"/>
  <c r="D76" i="139"/>
  <c r="C76" i="139"/>
  <c r="D71" i="139"/>
  <c r="C71" i="139"/>
  <c r="D66" i="139"/>
  <c r="C66" i="139"/>
  <c r="D61" i="139"/>
  <c r="C61" i="139"/>
  <c r="D56" i="139"/>
  <c r="C56" i="139"/>
  <c r="D51" i="139"/>
  <c r="C51" i="139"/>
  <c r="D46" i="139"/>
  <c r="C46" i="139"/>
  <c r="D40" i="139"/>
  <c r="C40" i="139"/>
  <c r="D34" i="139"/>
  <c r="C34" i="139"/>
  <c r="D28" i="139"/>
  <c r="C28" i="139"/>
  <c r="D22" i="139"/>
  <c r="C22" i="139"/>
  <c r="D16" i="139"/>
  <c r="C16" i="139"/>
  <c r="D10" i="139"/>
  <c r="C10" i="139"/>
  <c r="D4" i="139"/>
  <c r="C4" i="139"/>
  <c r="D4" i="138"/>
  <c r="G96" i="137"/>
  <c r="G93" i="137"/>
  <c r="G90" i="137"/>
  <c r="W59" i="137"/>
  <c r="H81" i="139" s="1"/>
  <c r="H82" i="139" s="1"/>
  <c r="V59" i="137"/>
  <c r="U59" i="137"/>
  <c r="T59" i="137"/>
  <c r="S59" i="137"/>
  <c r="R59" i="137"/>
  <c r="Q59" i="137"/>
  <c r="H51" i="139" s="1"/>
  <c r="H52" i="139" s="1"/>
  <c r="P59" i="137"/>
  <c r="O59" i="137"/>
  <c r="N59" i="137"/>
  <c r="H34" i="139" s="1"/>
  <c r="H35" i="139" s="1"/>
  <c r="M59" i="137"/>
  <c r="H28" i="139" s="1"/>
  <c r="H29" i="139" s="1"/>
  <c r="L59" i="137"/>
  <c r="H22" i="139" s="1"/>
  <c r="H23" i="139" s="1"/>
  <c r="K59" i="137"/>
  <c r="J59" i="137"/>
  <c r="H10" i="139" s="1"/>
  <c r="H11" i="139" s="1"/>
  <c r="Y55" i="137"/>
  <c r="X55" i="137"/>
  <c r="H55" i="137"/>
  <c r="G55" i="137"/>
  <c r="C55" i="137"/>
  <c r="B55" i="137"/>
  <c r="G45" i="137"/>
  <c r="G42" i="137"/>
  <c r="G39" i="137"/>
  <c r="X80" i="137"/>
  <c r="P29" i="137"/>
  <c r="X79" i="137"/>
  <c r="X78" i="137"/>
  <c r="X77" i="137"/>
  <c r="X76" i="137"/>
  <c r="X75" i="137"/>
  <c r="T24" i="137"/>
  <c r="X74" i="137"/>
  <c r="X73" i="137"/>
  <c r="X71" i="137"/>
  <c r="X70" i="137"/>
  <c r="W18" i="137"/>
  <c r="V18" i="137"/>
  <c r="U18" i="137"/>
  <c r="T18" i="137"/>
  <c r="S18" i="137"/>
  <c r="R18" i="137"/>
  <c r="Q18" i="137"/>
  <c r="P18" i="137"/>
  <c r="O18" i="137"/>
  <c r="N18" i="137"/>
  <c r="M18" i="137"/>
  <c r="L18" i="137"/>
  <c r="K18" i="137"/>
  <c r="J18" i="137"/>
  <c r="W17" i="137"/>
  <c r="W68" i="137" s="1"/>
  <c r="V17" i="137"/>
  <c r="V68" i="137" s="1"/>
  <c r="U17" i="137"/>
  <c r="U68" i="137" s="1"/>
  <c r="T17" i="137"/>
  <c r="T68" i="137" s="1"/>
  <c r="S17" i="137"/>
  <c r="S68" i="137" s="1"/>
  <c r="R17" i="137"/>
  <c r="R68" i="137" s="1"/>
  <c r="Q17" i="137"/>
  <c r="Q68" i="137" s="1"/>
  <c r="P17" i="137"/>
  <c r="P68" i="137" s="1"/>
  <c r="O68" i="137"/>
  <c r="N68" i="137"/>
  <c r="M68" i="137"/>
  <c r="L68" i="137"/>
  <c r="K68" i="137"/>
  <c r="J68" i="137"/>
  <c r="I68" i="137"/>
  <c r="W16" i="137"/>
  <c r="V16" i="137"/>
  <c r="U16" i="137"/>
  <c r="T16" i="137"/>
  <c r="S16" i="137"/>
  <c r="R16" i="137"/>
  <c r="Q16" i="137"/>
  <c r="P16" i="137"/>
  <c r="O16" i="137"/>
  <c r="N16" i="137"/>
  <c r="M16" i="137"/>
  <c r="L16" i="137"/>
  <c r="K16" i="137"/>
  <c r="J16" i="137"/>
  <c r="W15" i="137"/>
  <c r="V15" i="137"/>
  <c r="U15" i="137"/>
  <c r="T15" i="137"/>
  <c r="S15" i="137"/>
  <c r="R15" i="137"/>
  <c r="Q15" i="137"/>
  <c r="P15" i="137"/>
  <c r="O15" i="137"/>
  <c r="N15" i="137"/>
  <c r="M15" i="137"/>
  <c r="L15" i="137"/>
  <c r="K15" i="137"/>
  <c r="J15" i="137"/>
  <c r="W14" i="137"/>
  <c r="W65" i="137" s="1"/>
  <c r="V14" i="137"/>
  <c r="V65" i="137" s="1"/>
  <c r="U14" i="137"/>
  <c r="U65" i="137" s="1"/>
  <c r="T14" i="137"/>
  <c r="T65" i="137" s="1"/>
  <c r="S14" i="137"/>
  <c r="S65" i="137" s="1"/>
  <c r="R14" i="137"/>
  <c r="R65" i="137" s="1"/>
  <c r="Q14" i="137"/>
  <c r="Q65" i="137" s="1"/>
  <c r="P14" i="137"/>
  <c r="P65" i="137" s="1"/>
  <c r="O14" i="137"/>
  <c r="O65" i="137" s="1"/>
  <c r="N14" i="137"/>
  <c r="N65" i="137" s="1"/>
  <c r="M14" i="137"/>
  <c r="M65" i="137" s="1"/>
  <c r="L14" i="137"/>
  <c r="L65" i="137" s="1"/>
  <c r="K14" i="137"/>
  <c r="K65" i="137" s="1"/>
  <c r="J14" i="137"/>
  <c r="J65" i="137" s="1"/>
  <c r="I65" i="137"/>
  <c r="W8" i="137"/>
  <c r="G81" i="139" s="1"/>
  <c r="G82" i="139" s="1"/>
  <c r="V8" i="137"/>
  <c r="G76" i="139" s="1"/>
  <c r="G77" i="139" s="1"/>
  <c r="U8" i="137"/>
  <c r="G71" i="139" s="1"/>
  <c r="G72" i="139" s="1"/>
  <c r="T8" i="137"/>
  <c r="G66" i="139" s="1"/>
  <c r="G67" i="139" s="1"/>
  <c r="S8" i="137"/>
  <c r="G61" i="139" s="1"/>
  <c r="R8" i="137"/>
  <c r="G56" i="139" s="1"/>
  <c r="G57" i="139" s="1"/>
  <c r="Q8" i="137"/>
  <c r="G51" i="139" s="1"/>
  <c r="G52" i="139" s="1"/>
  <c r="P8" i="137"/>
  <c r="G46" i="139" s="1"/>
  <c r="O8" i="137"/>
  <c r="G40" i="139" s="1"/>
  <c r="G41" i="139" s="1"/>
  <c r="N8" i="137"/>
  <c r="G34" i="139" s="1"/>
  <c r="G35" i="139" s="1"/>
  <c r="M8" i="137"/>
  <c r="G28" i="139" s="1"/>
  <c r="G29" i="139" s="1"/>
  <c r="L8" i="137"/>
  <c r="G22" i="139" s="1"/>
  <c r="G23" i="139" s="1"/>
  <c r="K8" i="137"/>
  <c r="G16" i="139" s="1"/>
  <c r="G17" i="139" s="1"/>
  <c r="J8" i="137"/>
  <c r="G10" i="139" s="1"/>
  <c r="G11" i="139" s="1"/>
  <c r="G4" i="139"/>
  <c r="G5" i="139" s="1"/>
  <c r="W6" i="137"/>
  <c r="W57" i="137" s="1"/>
  <c r="V6" i="137"/>
  <c r="V57" i="137" s="1"/>
  <c r="D10" i="138" s="1"/>
  <c r="U6" i="137"/>
  <c r="U57" i="137" s="1"/>
  <c r="D9" i="138" s="1"/>
  <c r="T6" i="137"/>
  <c r="T57" i="137" s="1"/>
  <c r="D8" i="138" s="1"/>
  <c r="S6" i="137"/>
  <c r="S57" i="137" s="1"/>
  <c r="D7" i="138" s="1"/>
  <c r="R6" i="137"/>
  <c r="R57" i="137" s="1"/>
  <c r="D6" i="138" s="1"/>
  <c r="Q6" i="137"/>
  <c r="Q57" i="137" s="1"/>
  <c r="P6" i="137"/>
  <c r="P57" i="137" s="1"/>
  <c r="O6" i="137"/>
  <c r="O57" i="137" s="1"/>
  <c r="N6" i="137"/>
  <c r="N57" i="137" s="1"/>
  <c r="M6" i="137"/>
  <c r="M57" i="137" s="1"/>
  <c r="L6" i="137"/>
  <c r="L57" i="137" s="1"/>
  <c r="K6" i="137"/>
  <c r="K57" i="137" s="1"/>
  <c r="J6" i="137"/>
  <c r="J57" i="137" s="1"/>
  <c r="I57" i="137"/>
  <c r="W4" i="137"/>
  <c r="W55" i="137" s="1"/>
  <c r="V4" i="137"/>
  <c r="V55" i="137" s="1"/>
  <c r="U4" i="137"/>
  <c r="U55" i="137" s="1"/>
  <c r="T4" i="137"/>
  <c r="T55" i="137" s="1"/>
  <c r="S4" i="137"/>
  <c r="S55" i="137" s="1"/>
  <c r="R4" i="137"/>
  <c r="R55" i="137" s="1"/>
  <c r="Q4" i="137"/>
  <c r="Q55" i="137" s="1"/>
  <c r="P4" i="137"/>
  <c r="P55" i="137" s="1"/>
  <c r="O55" i="137"/>
  <c r="N4" i="137"/>
  <c r="N55" i="137" s="1"/>
  <c r="M4" i="137"/>
  <c r="M55" i="137" s="1"/>
  <c r="L4" i="137"/>
  <c r="L55" i="137" s="1"/>
  <c r="K4" i="137"/>
  <c r="K55" i="137" s="1"/>
  <c r="J4" i="137"/>
  <c r="J55" i="137" s="1"/>
  <c r="I4" i="137"/>
  <c r="I55" i="137" s="1"/>
  <c r="I257" i="135"/>
  <c r="I256" i="135"/>
  <c r="M255" i="135"/>
  <c r="D255" i="135"/>
  <c r="C255" i="135"/>
  <c r="M254" i="135"/>
  <c r="D254" i="135"/>
  <c r="C254" i="135"/>
  <c r="M253" i="135"/>
  <c r="D253" i="135"/>
  <c r="C253" i="135"/>
  <c r="M252" i="135"/>
  <c r="D252" i="135"/>
  <c r="C252" i="135"/>
  <c r="M251" i="135"/>
  <c r="D251" i="135"/>
  <c r="C251" i="135"/>
  <c r="M250" i="135"/>
  <c r="D250" i="135"/>
  <c r="C250" i="135"/>
  <c r="M249" i="135"/>
  <c r="D249" i="135"/>
  <c r="C249" i="135"/>
  <c r="M248" i="135"/>
  <c r="D248" i="135"/>
  <c r="C248" i="135"/>
  <c r="M247" i="135"/>
  <c r="D247" i="135"/>
  <c r="C247" i="135"/>
  <c r="M246" i="135"/>
  <c r="D246" i="135"/>
  <c r="C246" i="135"/>
  <c r="M245" i="135"/>
  <c r="D245" i="135"/>
  <c r="C245" i="135"/>
  <c r="M244" i="135"/>
  <c r="D244" i="135"/>
  <c r="C244" i="135"/>
  <c r="M243" i="135"/>
  <c r="D243" i="135"/>
  <c r="C243" i="135"/>
  <c r="M242" i="135"/>
  <c r="D242" i="135"/>
  <c r="C242" i="135"/>
  <c r="M241" i="135"/>
  <c r="D241" i="135"/>
  <c r="C241" i="135"/>
  <c r="I236" i="135"/>
  <c r="I235" i="135"/>
  <c r="M234" i="135"/>
  <c r="D234" i="135"/>
  <c r="C234" i="135"/>
  <c r="M233" i="135"/>
  <c r="D233" i="135"/>
  <c r="C233" i="135"/>
  <c r="M232" i="135"/>
  <c r="D232" i="135"/>
  <c r="C232" i="135"/>
  <c r="M231" i="135"/>
  <c r="D231" i="135"/>
  <c r="C231" i="135"/>
  <c r="Q217" i="135"/>
  <c r="P217" i="135"/>
  <c r="O217" i="135"/>
  <c r="E211" i="135"/>
  <c r="E210" i="135"/>
  <c r="E209" i="135"/>
  <c r="E208" i="135"/>
  <c r="E207" i="135"/>
  <c r="E205" i="135"/>
  <c r="E204" i="135"/>
  <c r="E206" i="135" s="1"/>
  <c r="Q201" i="135"/>
  <c r="P201" i="135"/>
  <c r="O201" i="135"/>
  <c r="Q200" i="135"/>
  <c r="P200" i="135"/>
  <c r="O200" i="135"/>
  <c r="E200" i="135"/>
  <c r="Q199" i="135"/>
  <c r="P199" i="135"/>
  <c r="O199" i="135"/>
  <c r="E199" i="135"/>
  <c r="Q198" i="135"/>
  <c r="P198" i="135"/>
  <c r="O198" i="135"/>
  <c r="Q197" i="135"/>
  <c r="P197" i="135"/>
  <c r="O197" i="135"/>
  <c r="E197" i="135"/>
  <c r="Q196" i="135"/>
  <c r="P196" i="135"/>
  <c r="O196" i="135"/>
  <c r="E196" i="135"/>
  <c r="Q195" i="135"/>
  <c r="P195" i="135"/>
  <c r="O195" i="135"/>
  <c r="E195" i="135"/>
  <c r="Q194" i="135"/>
  <c r="P194" i="135"/>
  <c r="O194" i="135"/>
  <c r="E194" i="135"/>
  <c r="Q193" i="135"/>
  <c r="P193" i="135"/>
  <c r="O193" i="135"/>
  <c r="Q192" i="135"/>
  <c r="P192" i="135"/>
  <c r="O192" i="135"/>
  <c r="E192" i="135"/>
  <c r="Q191" i="135"/>
  <c r="P191" i="135"/>
  <c r="O191" i="135"/>
  <c r="E191" i="135"/>
  <c r="Q190" i="135"/>
  <c r="P190" i="135"/>
  <c r="O190" i="135"/>
  <c r="Q189" i="135"/>
  <c r="P189" i="135"/>
  <c r="O189" i="135"/>
  <c r="E189" i="135"/>
  <c r="Q188" i="135"/>
  <c r="P188" i="135"/>
  <c r="O188" i="135"/>
  <c r="Q187" i="135"/>
  <c r="P187" i="135"/>
  <c r="O187" i="135"/>
  <c r="E187" i="135"/>
  <c r="A185" i="135"/>
  <c r="E182" i="135"/>
  <c r="E181" i="135"/>
  <c r="E180" i="135"/>
  <c r="E179" i="135"/>
  <c r="E178" i="135"/>
  <c r="E177" i="135"/>
  <c r="E176" i="135"/>
  <c r="E175" i="135"/>
  <c r="Q172" i="135"/>
  <c r="P172" i="135"/>
  <c r="O172" i="135"/>
  <c r="Q171" i="135"/>
  <c r="P171" i="135"/>
  <c r="O171" i="135"/>
  <c r="E171" i="135"/>
  <c r="Q170" i="135"/>
  <c r="P170" i="135"/>
  <c r="O170" i="135"/>
  <c r="E170" i="135"/>
  <c r="Q169" i="135"/>
  <c r="P169" i="135"/>
  <c r="O169" i="135"/>
  <c r="Q168" i="135"/>
  <c r="P168" i="135"/>
  <c r="O168" i="135"/>
  <c r="E168" i="135"/>
  <c r="Q167" i="135"/>
  <c r="P167" i="135"/>
  <c r="O167" i="135"/>
  <c r="E167" i="135"/>
  <c r="Q166" i="135"/>
  <c r="P166" i="135"/>
  <c r="O166" i="135"/>
  <c r="E166" i="135"/>
  <c r="Q165" i="135"/>
  <c r="P165" i="135"/>
  <c r="O165" i="135"/>
  <c r="E165" i="135"/>
  <c r="Q164" i="135"/>
  <c r="P164" i="135"/>
  <c r="O164" i="135"/>
  <c r="Q163" i="135"/>
  <c r="P163" i="135"/>
  <c r="O163" i="135"/>
  <c r="E163" i="135"/>
  <c r="Q162" i="135"/>
  <c r="P162" i="135"/>
  <c r="O162" i="135"/>
  <c r="E162" i="135"/>
  <c r="Q161" i="135"/>
  <c r="P161" i="135"/>
  <c r="O161" i="135"/>
  <c r="Q160" i="135"/>
  <c r="P160" i="135"/>
  <c r="O160" i="135"/>
  <c r="E160" i="135"/>
  <c r="Q159" i="135"/>
  <c r="P159" i="135"/>
  <c r="O159" i="135"/>
  <c r="Q158" i="135"/>
  <c r="P158" i="135"/>
  <c r="O158" i="135"/>
  <c r="E158" i="135"/>
  <c r="A156" i="135"/>
  <c r="E153" i="135"/>
  <c r="E152" i="135"/>
  <c r="E151" i="135"/>
  <c r="E150" i="135"/>
  <c r="E149" i="135"/>
  <c r="E148" i="135"/>
  <c r="E147" i="135"/>
  <c r="E146" i="135"/>
  <c r="Q143" i="135"/>
  <c r="P143" i="135"/>
  <c r="O143" i="135"/>
  <c r="Q142" i="135"/>
  <c r="P142" i="135"/>
  <c r="O142" i="135"/>
  <c r="E142" i="135"/>
  <c r="Q141" i="135"/>
  <c r="P141" i="135"/>
  <c r="O141" i="135"/>
  <c r="E141" i="135"/>
  <c r="Q140" i="135"/>
  <c r="P140" i="135"/>
  <c r="O140" i="135"/>
  <c r="Q139" i="135"/>
  <c r="P139" i="135"/>
  <c r="O139" i="135"/>
  <c r="E139" i="135"/>
  <c r="Q138" i="135"/>
  <c r="P138" i="135"/>
  <c r="O138" i="135"/>
  <c r="E138" i="135"/>
  <c r="Q137" i="135"/>
  <c r="P137" i="135"/>
  <c r="O137" i="135"/>
  <c r="E137" i="135"/>
  <c r="Q136" i="135"/>
  <c r="P136" i="135"/>
  <c r="O136" i="135"/>
  <c r="E136" i="135"/>
  <c r="Q135" i="135"/>
  <c r="P135" i="135"/>
  <c r="O135" i="135"/>
  <c r="Q134" i="135"/>
  <c r="P134" i="135"/>
  <c r="O134" i="135"/>
  <c r="E134" i="135"/>
  <c r="Q133" i="135"/>
  <c r="P133" i="135"/>
  <c r="O133" i="135"/>
  <c r="E133" i="135"/>
  <c r="Q132" i="135"/>
  <c r="P132" i="135"/>
  <c r="O132" i="135"/>
  <c r="Q131" i="135"/>
  <c r="P131" i="135"/>
  <c r="O131" i="135"/>
  <c r="E131" i="135"/>
  <c r="Q130" i="135"/>
  <c r="P130" i="135"/>
  <c r="O130" i="135"/>
  <c r="Q129" i="135"/>
  <c r="P129" i="135"/>
  <c r="O129" i="135"/>
  <c r="E129" i="135"/>
  <c r="A127" i="135"/>
  <c r="E123" i="135"/>
  <c r="E122" i="135"/>
  <c r="E121" i="135"/>
  <c r="E120" i="135"/>
  <c r="E119" i="135"/>
  <c r="E118" i="135"/>
  <c r="E117" i="135"/>
  <c r="E116" i="135"/>
  <c r="Q113" i="135"/>
  <c r="P113" i="135"/>
  <c r="O113" i="135"/>
  <c r="Q112" i="135"/>
  <c r="P112" i="135"/>
  <c r="O112" i="135"/>
  <c r="E112" i="135"/>
  <c r="Q111" i="135"/>
  <c r="P111" i="135"/>
  <c r="O111" i="135"/>
  <c r="E111" i="135"/>
  <c r="Q110" i="135"/>
  <c r="P110" i="135"/>
  <c r="O110" i="135"/>
  <c r="Q109" i="135"/>
  <c r="P109" i="135"/>
  <c r="O109" i="135"/>
  <c r="E109" i="135"/>
  <c r="Q108" i="135"/>
  <c r="P108" i="135"/>
  <c r="O108" i="135"/>
  <c r="E108" i="135"/>
  <c r="Q107" i="135"/>
  <c r="P107" i="135"/>
  <c r="O107" i="135"/>
  <c r="E107" i="135"/>
  <c r="Q106" i="135"/>
  <c r="P106" i="135"/>
  <c r="O106" i="135"/>
  <c r="E106" i="135"/>
  <c r="Q105" i="135"/>
  <c r="P105" i="135"/>
  <c r="O105" i="135"/>
  <c r="Q104" i="135"/>
  <c r="P104" i="135"/>
  <c r="O104" i="135"/>
  <c r="E104" i="135"/>
  <c r="Q103" i="135"/>
  <c r="P103" i="135"/>
  <c r="O103" i="135"/>
  <c r="E103" i="135"/>
  <c r="Q102" i="135"/>
  <c r="P102" i="135"/>
  <c r="O102" i="135"/>
  <c r="Q101" i="135"/>
  <c r="P101" i="135"/>
  <c r="O101" i="135"/>
  <c r="E101" i="135"/>
  <c r="Q100" i="135"/>
  <c r="P100" i="135"/>
  <c r="O100" i="135"/>
  <c r="Q99" i="135"/>
  <c r="P99" i="135"/>
  <c r="O99" i="135"/>
  <c r="E99" i="135"/>
  <c r="A97" i="135"/>
  <c r="E93" i="135"/>
  <c r="E92" i="135"/>
  <c r="E91" i="135"/>
  <c r="E90" i="135"/>
  <c r="E89" i="135"/>
  <c r="E88" i="135"/>
  <c r="E87" i="135"/>
  <c r="E86" i="135"/>
  <c r="Q83" i="135"/>
  <c r="P83" i="135"/>
  <c r="O83" i="135"/>
  <c r="Q82" i="135"/>
  <c r="P82" i="135"/>
  <c r="O82" i="135"/>
  <c r="E82" i="135"/>
  <c r="Q81" i="135"/>
  <c r="P81" i="135"/>
  <c r="O81" i="135"/>
  <c r="E81" i="135"/>
  <c r="Q80" i="135"/>
  <c r="P80" i="135"/>
  <c r="O80" i="135"/>
  <c r="Q79" i="135"/>
  <c r="P79" i="135"/>
  <c r="O79" i="135"/>
  <c r="E79" i="135"/>
  <c r="Q78" i="135"/>
  <c r="P78" i="135"/>
  <c r="O78" i="135"/>
  <c r="E78" i="135"/>
  <c r="Q77" i="135"/>
  <c r="P77" i="135"/>
  <c r="O77" i="135"/>
  <c r="E77" i="135"/>
  <c r="Q76" i="135"/>
  <c r="P76" i="135"/>
  <c r="O76" i="135"/>
  <c r="E76" i="135"/>
  <c r="Q75" i="135"/>
  <c r="P75" i="135"/>
  <c r="O75" i="135"/>
  <c r="Q74" i="135"/>
  <c r="P74" i="135"/>
  <c r="O74" i="135"/>
  <c r="E74" i="135"/>
  <c r="Q73" i="135"/>
  <c r="P73" i="135"/>
  <c r="O73" i="135"/>
  <c r="E73" i="135"/>
  <c r="Q72" i="135"/>
  <c r="P72" i="135"/>
  <c r="O72" i="135"/>
  <c r="Q71" i="135"/>
  <c r="P71" i="135"/>
  <c r="O71" i="135"/>
  <c r="E71" i="135"/>
  <c r="Q70" i="135"/>
  <c r="P70" i="135"/>
  <c r="O70" i="135"/>
  <c r="Q69" i="135"/>
  <c r="P69" i="135"/>
  <c r="O69" i="135"/>
  <c r="E69" i="135"/>
  <c r="A67" i="135"/>
  <c r="E63" i="135"/>
  <c r="E62" i="135"/>
  <c r="E61" i="135"/>
  <c r="E60" i="135"/>
  <c r="E59" i="135"/>
  <c r="E58" i="135"/>
  <c r="E57" i="135"/>
  <c r="E56" i="135"/>
  <c r="Q53" i="135"/>
  <c r="P53" i="135"/>
  <c r="O53" i="135"/>
  <c r="Q52" i="135"/>
  <c r="P52" i="135"/>
  <c r="O52" i="135"/>
  <c r="E52" i="135"/>
  <c r="Q51" i="135"/>
  <c r="P51" i="135"/>
  <c r="O51" i="135"/>
  <c r="E51" i="135"/>
  <c r="Q50" i="135"/>
  <c r="P50" i="135"/>
  <c r="O50" i="135"/>
  <c r="Q49" i="135"/>
  <c r="P49" i="135"/>
  <c r="O49" i="135"/>
  <c r="E49" i="135"/>
  <c r="Q48" i="135"/>
  <c r="P48" i="135"/>
  <c r="O48" i="135"/>
  <c r="E48" i="135"/>
  <c r="Q47" i="135"/>
  <c r="P47" i="135"/>
  <c r="O47" i="135"/>
  <c r="E47" i="135"/>
  <c r="Q46" i="135"/>
  <c r="P46" i="135"/>
  <c r="O46" i="135"/>
  <c r="E46" i="135"/>
  <c r="Q45" i="135"/>
  <c r="P45" i="135"/>
  <c r="O45" i="135"/>
  <c r="Q44" i="135"/>
  <c r="P44" i="135"/>
  <c r="O44" i="135"/>
  <c r="E44" i="135"/>
  <c r="Q43" i="135"/>
  <c r="P43" i="135"/>
  <c r="O43" i="135"/>
  <c r="E43" i="135"/>
  <c r="Q42" i="135"/>
  <c r="P42" i="135"/>
  <c r="O42" i="135"/>
  <c r="Q41" i="135"/>
  <c r="P41" i="135"/>
  <c r="O41" i="135"/>
  <c r="E41" i="135"/>
  <c r="Q40" i="135"/>
  <c r="P40" i="135"/>
  <c r="O40" i="135"/>
  <c r="Q39" i="135"/>
  <c r="P39" i="135"/>
  <c r="O39" i="135"/>
  <c r="E39" i="135"/>
  <c r="A37" i="135"/>
  <c r="E32" i="135"/>
  <c r="E30" i="135"/>
  <c r="E29" i="135"/>
  <c r="E28" i="135"/>
  <c r="E27" i="135"/>
  <c r="E25" i="135"/>
  <c r="E24" i="135"/>
  <c r="E26" i="135" s="1"/>
  <c r="Q21" i="135"/>
  <c r="P21" i="135"/>
  <c r="O21" i="135"/>
  <c r="E21" i="135"/>
  <c r="Q20" i="135"/>
  <c r="P20" i="135"/>
  <c r="O20" i="135"/>
  <c r="E20" i="135"/>
  <c r="Q19" i="135"/>
  <c r="P19" i="135"/>
  <c r="O19" i="135"/>
  <c r="E19" i="135"/>
  <c r="Q18" i="135"/>
  <c r="P18" i="135"/>
  <c r="O18" i="135"/>
  <c r="Q17" i="135"/>
  <c r="P17" i="135"/>
  <c r="O17" i="135"/>
  <c r="Q16" i="135"/>
  <c r="P16" i="135"/>
  <c r="O16" i="135"/>
  <c r="E16" i="135"/>
  <c r="Q15" i="135"/>
  <c r="P15" i="135"/>
  <c r="O15" i="135"/>
  <c r="E15" i="135"/>
  <c r="Q14" i="135"/>
  <c r="P14" i="135"/>
  <c r="O14" i="135"/>
  <c r="E14" i="135"/>
  <c r="Q13" i="135"/>
  <c r="P13" i="135"/>
  <c r="O13" i="135"/>
  <c r="E13" i="135"/>
  <c r="Q12" i="135"/>
  <c r="P12" i="135"/>
  <c r="O12" i="135"/>
  <c r="E12" i="135"/>
  <c r="Q11" i="135"/>
  <c r="P11" i="135"/>
  <c r="O11" i="135"/>
  <c r="E11" i="135"/>
  <c r="Q10" i="135"/>
  <c r="P10" i="135"/>
  <c r="O10" i="135"/>
  <c r="E10" i="135"/>
  <c r="Q9" i="135"/>
  <c r="P9" i="135"/>
  <c r="O9" i="135"/>
  <c r="Q8" i="135"/>
  <c r="P8" i="135"/>
  <c r="O8" i="135"/>
  <c r="Q7" i="135"/>
  <c r="P7" i="135"/>
  <c r="O7" i="135"/>
  <c r="E7" i="135"/>
  <c r="Q6" i="135"/>
  <c r="P6" i="135"/>
  <c r="O6" i="135"/>
  <c r="Q5" i="135"/>
  <c r="P5" i="135"/>
  <c r="O5" i="135"/>
  <c r="E5" i="135"/>
  <c r="E9" i="135" s="1"/>
  <c r="A3" i="135"/>
  <c r="D4" i="134"/>
  <c r="D81" i="133"/>
  <c r="C81" i="133"/>
  <c r="D76" i="133"/>
  <c r="C76" i="133"/>
  <c r="D71" i="133"/>
  <c r="C71" i="133"/>
  <c r="D66" i="133"/>
  <c r="C66" i="133"/>
  <c r="D61" i="133"/>
  <c r="C61" i="133"/>
  <c r="D56" i="133"/>
  <c r="C56" i="133"/>
  <c r="D51" i="133"/>
  <c r="C51" i="133"/>
  <c r="D46" i="133"/>
  <c r="C46" i="133"/>
  <c r="D40" i="133"/>
  <c r="C40" i="133"/>
  <c r="D34" i="133"/>
  <c r="C34" i="133"/>
  <c r="D28" i="133"/>
  <c r="C28" i="133"/>
  <c r="D22" i="133"/>
  <c r="C22" i="133"/>
  <c r="D16" i="133"/>
  <c r="C16" i="133"/>
  <c r="D10" i="133"/>
  <c r="C10" i="133"/>
  <c r="D4" i="133"/>
  <c r="C4" i="133"/>
  <c r="G96" i="132"/>
  <c r="G93" i="132"/>
  <c r="G90" i="132"/>
  <c r="W59" i="132"/>
  <c r="H81" i="133" s="1"/>
  <c r="H82" i="133" s="1"/>
  <c r="V59" i="132"/>
  <c r="G10" i="134" s="1"/>
  <c r="U59" i="132"/>
  <c r="T59" i="132"/>
  <c r="S59" i="132"/>
  <c r="H61" i="133" s="1"/>
  <c r="R59" i="132"/>
  <c r="G6" i="134" s="1"/>
  <c r="Q59" i="132"/>
  <c r="H51" i="133" s="1"/>
  <c r="H52" i="133" s="1"/>
  <c r="P59" i="132"/>
  <c r="O59" i="132"/>
  <c r="H40" i="133" s="1"/>
  <c r="H41" i="133" s="1"/>
  <c r="N59" i="132"/>
  <c r="H34" i="133" s="1"/>
  <c r="H35" i="133" s="1"/>
  <c r="M59" i="132"/>
  <c r="H28" i="133" s="1"/>
  <c r="H29" i="133" s="1"/>
  <c r="L59" i="132"/>
  <c r="H22" i="133" s="1"/>
  <c r="H23" i="133" s="1"/>
  <c r="K59" i="132"/>
  <c r="H16" i="133" s="1"/>
  <c r="H17" i="133" s="1"/>
  <c r="J59" i="132"/>
  <c r="H10" i="133" s="1"/>
  <c r="H11" i="133" s="1"/>
  <c r="I59" i="132"/>
  <c r="Y55" i="132"/>
  <c r="X55" i="132"/>
  <c r="H55" i="132"/>
  <c r="G55" i="132"/>
  <c r="C55" i="132"/>
  <c r="B55" i="132"/>
  <c r="G45" i="132"/>
  <c r="G42" i="132"/>
  <c r="G39" i="132"/>
  <c r="X80" i="132"/>
  <c r="X79" i="132"/>
  <c r="X78" i="132"/>
  <c r="P27" i="132"/>
  <c r="X77" i="132"/>
  <c r="X76" i="132"/>
  <c r="X75" i="132"/>
  <c r="X74" i="132"/>
  <c r="X73" i="132"/>
  <c r="X71" i="132"/>
  <c r="U19" i="132"/>
  <c r="P19" i="132"/>
  <c r="W18" i="132"/>
  <c r="V18" i="132"/>
  <c r="U18" i="132"/>
  <c r="G75" i="133" s="1"/>
  <c r="T18" i="132"/>
  <c r="G70" i="133" s="1"/>
  <c r="S18" i="132"/>
  <c r="R18" i="132"/>
  <c r="Q18" i="132"/>
  <c r="G55" i="133" s="1"/>
  <c r="P18" i="132"/>
  <c r="G50" i="133" s="1"/>
  <c r="O18" i="132"/>
  <c r="N18" i="132"/>
  <c r="M18" i="132"/>
  <c r="G33" i="133" s="1"/>
  <c r="L18" i="132"/>
  <c r="G27" i="133" s="1"/>
  <c r="K18" i="132"/>
  <c r="J18" i="132"/>
  <c r="I18" i="132"/>
  <c r="G9" i="133" s="1"/>
  <c r="W17" i="132"/>
  <c r="W68" i="132" s="1"/>
  <c r="V17" i="132"/>
  <c r="V68" i="132" s="1"/>
  <c r="U17" i="132"/>
  <c r="U68" i="132" s="1"/>
  <c r="T17" i="132"/>
  <c r="T68" i="132" s="1"/>
  <c r="S17" i="132"/>
  <c r="S68" i="132" s="1"/>
  <c r="R17" i="132"/>
  <c r="R68" i="132" s="1"/>
  <c r="Q17" i="132"/>
  <c r="Q68" i="132" s="1"/>
  <c r="P17" i="132"/>
  <c r="P68" i="132" s="1"/>
  <c r="O17" i="132"/>
  <c r="O68" i="132" s="1"/>
  <c r="N17" i="132"/>
  <c r="N68" i="132" s="1"/>
  <c r="M17" i="132"/>
  <c r="M68" i="132" s="1"/>
  <c r="L17" i="132"/>
  <c r="L68" i="132" s="1"/>
  <c r="K17" i="132"/>
  <c r="K68" i="132" s="1"/>
  <c r="J17" i="132"/>
  <c r="J68" i="132" s="1"/>
  <c r="I17" i="132"/>
  <c r="I68" i="132" s="1"/>
  <c r="W16" i="132"/>
  <c r="V16" i="132"/>
  <c r="U16" i="132"/>
  <c r="G74" i="133" s="1"/>
  <c r="T16" i="132"/>
  <c r="G69" i="133" s="1"/>
  <c r="S16" i="132"/>
  <c r="R16" i="132"/>
  <c r="Q16" i="132"/>
  <c r="G54" i="133" s="1"/>
  <c r="P16" i="132"/>
  <c r="G49" i="133" s="1"/>
  <c r="O16" i="132"/>
  <c r="N16" i="132"/>
  <c r="M16" i="132"/>
  <c r="G32" i="133" s="1"/>
  <c r="L16" i="132"/>
  <c r="G26" i="133" s="1"/>
  <c r="K16" i="132"/>
  <c r="J16" i="132"/>
  <c r="I16" i="132"/>
  <c r="G8" i="133" s="1"/>
  <c r="W15" i="132"/>
  <c r="V15" i="132"/>
  <c r="U15" i="132"/>
  <c r="G73" i="133" s="1"/>
  <c r="T15" i="132"/>
  <c r="G68" i="133" s="1"/>
  <c r="S15" i="132"/>
  <c r="R15" i="132"/>
  <c r="Q15" i="132"/>
  <c r="G53" i="133" s="1"/>
  <c r="P15" i="132"/>
  <c r="G48" i="133" s="1"/>
  <c r="O15" i="132"/>
  <c r="N15" i="132"/>
  <c r="M15" i="132"/>
  <c r="G30" i="133" s="1"/>
  <c r="L15" i="132"/>
  <c r="G24" i="133" s="1"/>
  <c r="K15" i="132"/>
  <c r="J15" i="132"/>
  <c r="I15" i="132"/>
  <c r="G6" i="133" s="1"/>
  <c r="W14" i="132"/>
  <c r="W65" i="132" s="1"/>
  <c r="V14" i="132"/>
  <c r="V65" i="132" s="1"/>
  <c r="U14" i="132"/>
  <c r="U65" i="132" s="1"/>
  <c r="T14" i="132"/>
  <c r="T65" i="132" s="1"/>
  <c r="S14" i="132"/>
  <c r="S65" i="132" s="1"/>
  <c r="R14" i="132"/>
  <c r="R65" i="132" s="1"/>
  <c r="Q14" i="132"/>
  <c r="Q65" i="132" s="1"/>
  <c r="P14" i="132"/>
  <c r="P65" i="132" s="1"/>
  <c r="O14" i="132"/>
  <c r="O65" i="132" s="1"/>
  <c r="N14" i="132"/>
  <c r="N65" i="132" s="1"/>
  <c r="M14" i="132"/>
  <c r="M65" i="132" s="1"/>
  <c r="L14" i="132"/>
  <c r="L65" i="132" s="1"/>
  <c r="K14" i="132"/>
  <c r="K65" i="132" s="1"/>
  <c r="J14" i="132"/>
  <c r="J65" i="132" s="1"/>
  <c r="I14" i="132"/>
  <c r="I65" i="132" s="1"/>
  <c r="W8" i="132"/>
  <c r="G81" i="133" s="1"/>
  <c r="G82" i="133" s="1"/>
  <c r="V8" i="132"/>
  <c r="G76" i="133" s="1"/>
  <c r="G77" i="133" s="1"/>
  <c r="U8" i="132"/>
  <c r="G71" i="133" s="1"/>
  <c r="G72" i="133" s="1"/>
  <c r="T8" i="132"/>
  <c r="G66" i="133" s="1"/>
  <c r="G67" i="133" s="1"/>
  <c r="S8" i="132"/>
  <c r="G61" i="133" s="1"/>
  <c r="R8" i="132"/>
  <c r="G56" i="133" s="1"/>
  <c r="G57" i="133" s="1"/>
  <c r="Q8" i="132"/>
  <c r="G51" i="133" s="1"/>
  <c r="G52" i="133" s="1"/>
  <c r="P8" i="132"/>
  <c r="O8" i="132"/>
  <c r="G40" i="133" s="1"/>
  <c r="G41" i="133" s="1"/>
  <c r="N8" i="132"/>
  <c r="G34" i="133" s="1"/>
  <c r="G35" i="133" s="1"/>
  <c r="M8" i="132"/>
  <c r="G28" i="133" s="1"/>
  <c r="G29" i="133" s="1"/>
  <c r="L8" i="132"/>
  <c r="K8" i="132"/>
  <c r="G16" i="133" s="1"/>
  <c r="G17" i="133" s="1"/>
  <c r="J8" i="132"/>
  <c r="G10" i="133" s="1"/>
  <c r="G11" i="133" s="1"/>
  <c r="I8" i="132"/>
  <c r="W6" i="132"/>
  <c r="W57" i="132" s="1"/>
  <c r="V6" i="132"/>
  <c r="V57" i="132" s="1"/>
  <c r="D10" i="134" s="1"/>
  <c r="U6" i="132"/>
  <c r="U57" i="132" s="1"/>
  <c r="D9" i="134" s="1"/>
  <c r="T6" i="132"/>
  <c r="T57" i="132" s="1"/>
  <c r="D8" i="134" s="1"/>
  <c r="S6" i="132"/>
  <c r="S57" i="132" s="1"/>
  <c r="D7" i="134" s="1"/>
  <c r="R6" i="132"/>
  <c r="R57" i="132" s="1"/>
  <c r="D6" i="134" s="1"/>
  <c r="Q6" i="132"/>
  <c r="Q57" i="132" s="1"/>
  <c r="P6" i="132"/>
  <c r="P57" i="132" s="1"/>
  <c r="O6" i="132"/>
  <c r="O57" i="132" s="1"/>
  <c r="N6" i="132"/>
  <c r="N57" i="132" s="1"/>
  <c r="M6" i="132"/>
  <c r="M57" i="132" s="1"/>
  <c r="L6" i="132"/>
  <c r="L57" i="132" s="1"/>
  <c r="K6" i="132"/>
  <c r="K57" i="132" s="1"/>
  <c r="J6" i="132"/>
  <c r="J57" i="132" s="1"/>
  <c r="I6" i="132"/>
  <c r="I57" i="132" s="1"/>
  <c r="W4" i="132"/>
  <c r="W55" i="132" s="1"/>
  <c r="V4" i="132"/>
  <c r="V55" i="132" s="1"/>
  <c r="U4" i="132"/>
  <c r="U55" i="132" s="1"/>
  <c r="T4" i="132"/>
  <c r="T55" i="132" s="1"/>
  <c r="S4" i="132"/>
  <c r="S55" i="132" s="1"/>
  <c r="R4" i="132"/>
  <c r="R55" i="132" s="1"/>
  <c r="Q4" i="132"/>
  <c r="Q55" i="132" s="1"/>
  <c r="P4" i="132"/>
  <c r="P55" i="132" s="1"/>
  <c r="O55" i="132"/>
  <c r="N4" i="132"/>
  <c r="N55" i="132" s="1"/>
  <c r="M4" i="132"/>
  <c r="M55" i="132" s="1"/>
  <c r="L4" i="132"/>
  <c r="L55" i="132" s="1"/>
  <c r="K4" i="132"/>
  <c r="K55" i="132" s="1"/>
  <c r="J4" i="132"/>
  <c r="J55" i="132" s="1"/>
  <c r="I4" i="132"/>
  <c r="I55" i="132" s="1"/>
  <c r="Y26" i="129"/>
  <c r="T26" i="129"/>
  <c r="O26" i="129"/>
  <c r="Y24" i="129"/>
  <c r="T24" i="129"/>
  <c r="Y23" i="129"/>
  <c r="Y20" i="129"/>
  <c r="Y21" i="129" s="1"/>
  <c r="BN34" i="129"/>
  <c r="BN13" i="129"/>
  <c r="BI13" i="129"/>
  <c r="BD13" i="129"/>
  <c r="Y12" i="129"/>
  <c r="Y11" i="129"/>
  <c r="Y10" i="129"/>
  <c r="CM7" i="129"/>
  <c r="CH7" i="129"/>
  <c r="CC7" i="129"/>
  <c r="BX7" i="129"/>
  <c r="BS7" i="129"/>
  <c r="BN7" i="129"/>
  <c r="BD7" i="129"/>
  <c r="Y7" i="129"/>
  <c r="CM6" i="129"/>
  <c r="CH6" i="129"/>
  <c r="CC6" i="129"/>
  <c r="BX6" i="129"/>
  <c r="BS6" i="129"/>
  <c r="BN6" i="129"/>
  <c r="BD6" i="129"/>
  <c r="AI52" i="128"/>
  <c r="AD52" i="128"/>
  <c r="Y52" i="128"/>
  <c r="T52" i="128"/>
  <c r="O52" i="128"/>
  <c r="J52" i="128"/>
  <c r="E52" i="128"/>
  <c r="AU38" i="128"/>
  <c r="AP38" i="128"/>
  <c r="AK38" i="128"/>
  <c r="AF38" i="128"/>
  <c r="AA38" i="128"/>
  <c r="V38" i="128"/>
  <c r="Q38" i="128"/>
  <c r="L38" i="128"/>
  <c r="AU21" i="128"/>
  <c r="AP21" i="128"/>
  <c r="L21" i="128"/>
  <c r="K241" i="135" s="1"/>
  <c r="I241" i="135" l="1"/>
  <c r="D5" i="138"/>
  <c r="S19" i="137"/>
  <c r="T28" i="137"/>
  <c r="P24" i="132"/>
  <c r="P26" i="137"/>
  <c r="T22" i="137"/>
  <c r="P20" i="132"/>
  <c r="P71" i="132" s="1"/>
  <c r="P22" i="132"/>
  <c r="P23" i="132"/>
  <c r="P25" i="132"/>
  <c r="P26" i="132"/>
  <c r="O19" i="132"/>
  <c r="W19" i="132"/>
  <c r="O20" i="132"/>
  <c r="O71" i="132" s="1"/>
  <c r="W20" i="132"/>
  <c r="O22" i="132"/>
  <c r="W22" i="132"/>
  <c r="O23" i="132"/>
  <c r="W23" i="132"/>
  <c r="O24" i="132"/>
  <c r="W24" i="132"/>
  <c r="O25" i="132"/>
  <c r="W25" i="132"/>
  <c r="O26" i="132"/>
  <c r="W26" i="132"/>
  <c r="O27" i="132"/>
  <c r="W27" i="132"/>
  <c r="O28" i="132"/>
  <c r="W28" i="132"/>
  <c r="O29" i="132"/>
  <c r="W29" i="132"/>
  <c r="T27" i="137"/>
  <c r="K19" i="132"/>
  <c r="S19" i="132"/>
  <c r="K20" i="132"/>
  <c r="K71" i="132" s="1"/>
  <c r="S20" i="132"/>
  <c r="S71" i="132" s="1"/>
  <c r="K22" i="132"/>
  <c r="S22" i="132"/>
  <c r="K23" i="132"/>
  <c r="S23" i="132"/>
  <c r="K24" i="132"/>
  <c r="S24" i="132"/>
  <c r="K25" i="132"/>
  <c r="S25" i="132"/>
  <c r="K26" i="132"/>
  <c r="S26" i="132"/>
  <c r="K27" i="132"/>
  <c r="S27" i="132"/>
  <c r="K28" i="132"/>
  <c r="S28" i="132"/>
  <c r="K29" i="132"/>
  <c r="S29" i="132"/>
  <c r="T26" i="137"/>
  <c r="P28" i="137"/>
  <c r="T29" i="137"/>
  <c r="P28" i="132"/>
  <c r="P29" i="132"/>
  <c r="L19" i="132"/>
  <c r="T19" i="132"/>
  <c r="L20" i="132"/>
  <c r="L71" i="132" s="1"/>
  <c r="T20" i="132"/>
  <c r="L22" i="132"/>
  <c r="T22" i="132"/>
  <c r="L23" i="132"/>
  <c r="T23" i="132"/>
  <c r="L24" i="132"/>
  <c r="T24" i="132"/>
  <c r="L25" i="132"/>
  <c r="T25" i="132"/>
  <c r="L26" i="132"/>
  <c r="T26" i="132"/>
  <c r="L27" i="132"/>
  <c r="T27" i="132"/>
  <c r="L28" i="132"/>
  <c r="T28" i="132"/>
  <c r="L29" i="132"/>
  <c r="T29" i="132"/>
  <c r="T20" i="137"/>
  <c r="T23" i="137"/>
  <c r="T25" i="137"/>
  <c r="K19" i="137"/>
  <c r="L20" i="137"/>
  <c r="L71" i="137" s="1"/>
  <c r="L22" i="137"/>
  <c r="L23" i="137"/>
  <c r="L24" i="137"/>
  <c r="L25" i="137"/>
  <c r="L26" i="137"/>
  <c r="L27" i="137"/>
  <c r="L28" i="137"/>
  <c r="L29" i="137"/>
  <c r="O19" i="137"/>
  <c r="P20" i="137"/>
  <c r="P71" i="137" s="1"/>
  <c r="P22" i="137"/>
  <c r="P23" i="137"/>
  <c r="P24" i="137"/>
  <c r="P25" i="137"/>
  <c r="P27" i="137"/>
  <c r="I19" i="137"/>
  <c r="M19" i="137"/>
  <c r="Q19" i="137"/>
  <c r="U19" i="137"/>
  <c r="J20" i="137"/>
  <c r="J71" i="137" s="1"/>
  <c r="N20" i="137"/>
  <c r="N71" i="137" s="1"/>
  <c r="R20" i="137"/>
  <c r="R71" i="137" s="1"/>
  <c r="V20" i="137"/>
  <c r="J22" i="137"/>
  <c r="N22" i="137"/>
  <c r="R22" i="137"/>
  <c r="V22" i="137"/>
  <c r="J23" i="137"/>
  <c r="N23" i="137"/>
  <c r="R23" i="137"/>
  <c r="V23" i="137"/>
  <c r="J24" i="137"/>
  <c r="N24" i="137"/>
  <c r="R24" i="137"/>
  <c r="V24" i="137"/>
  <c r="J25" i="137"/>
  <c r="N25" i="137"/>
  <c r="R25" i="137"/>
  <c r="V25" i="137"/>
  <c r="J26" i="137"/>
  <c r="N26" i="137"/>
  <c r="R26" i="137"/>
  <c r="V26" i="137"/>
  <c r="J27" i="137"/>
  <c r="N27" i="137"/>
  <c r="R27" i="137"/>
  <c r="V27" i="137"/>
  <c r="J28" i="137"/>
  <c r="N28" i="137"/>
  <c r="R28" i="137"/>
  <c r="V28" i="137"/>
  <c r="J29" i="137"/>
  <c r="N29" i="137"/>
  <c r="R29" i="137"/>
  <c r="V29" i="137"/>
  <c r="J19" i="137"/>
  <c r="J21" i="137" s="1"/>
  <c r="N19" i="137"/>
  <c r="N21" i="137" s="1"/>
  <c r="R19" i="137"/>
  <c r="R21" i="137" s="1"/>
  <c r="V19" i="137"/>
  <c r="V21" i="137" s="1"/>
  <c r="K20" i="137"/>
  <c r="K71" i="137" s="1"/>
  <c r="O20" i="137"/>
  <c r="O71" i="137" s="1"/>
  <c r="S20" i="137"/>
  <c r="S71" i="137" s="1"/>
  <c r="W20" i="137"/>
  <c r="K22" i="137"/>
  <c r="O22" i="137"/>
  <c r="S22" i="137"/>
  <c r="W22" i="137"/>
  <c r="K23" i="137"/>
  <c r="O23" i="137"/>
  <c r="S23" i="137"/>
  <c r="W23" i="137"/>
  <c r="K24" i="137"/>
  <c r="O24" i="137"/>
  <c r="S24" i="137"/>
  <c r="W24" i="137"/>
  <c r="K25" i="137"/>
  <c r="O25" i="137"/>
  <c r="S25" i="137"/>
  <c r="W25" i="137"/>
  <c r="K26" i="137"/>
  <c r="O26" i="137"/>
  <c r="S26" i="137"/>
  <c r="W26" i="137"/>
  <c r="K27" i="137"/>
  <c r="O27" i="137"/>
  <c r="S27" i="137"/>
  <c r="W27" i="137"/>
  <c r="K28" i="137"/>
  <c r="O28" i="137"/>
  <c r="S28" i="137"/>
  <c r="W28" i="137"/>
  <c r="K29" i="137"/>
  <c r="O29" i="137"/>
  <c r="S29" i="137"/>
  <c r="W29" i="137"/>
  <c r="K21" i="137"/>
  <c r="O21" i="137"/>
  <c r="S21" i="137"/>
  <c r="L19" i="137"/>
  <c r="P19" i="137"/>
  <c r="T19" i="137"/>
  <c r="I20" i="137"/>
  <c r="I71" i="137" s="1"/>
  <c r="M20" i="137"/>
  <c r="M71" i="137" s="1"/>
  <c r="Q20" i="137"/>
  <c r="Q71" i="137" s="1"/>
  <c r="U20" i="137"/>
  <c r="I22" i="137"/>
  <c r="M22" i="137"/>
  <c r="Q22" i="137"/>
  <c r="U22" i="137"/>
  <c r="I23" i="137"/>
  <c r="M23" i="137"/>
  <c r="Q23" i="137"/>
  <c r="U23" i="137"/>
  <c r="I24" i="137"/>
  <c r="M24" i="137"/>
  <c r="Q24" i="137"/>
  <c r="U24" i="137"/>
  <c r="I25" i="137"/>
  <c r="M25" i="137"/>
  <c r="Q25" i="137"/>
  <c r="U25" i="137"/>
  <c r="I26" i="137"/>
  <c r="M26" i="137"/>
  <c r="Q26" i="137"/>
  <c r="U26" i="137"/>
  <c r="I27" i="137"/>
  <c r="M27" i="137"/>
  <c r="Q27" i="137"/>
  <c r="U27" i="137"/>
  <c r="I28" i="137"/>
  <c r="M28" i="137"/>
  <c r="Q28" i="137"/>
  <c r="U28" i="137"/>
  <c r="I29" i="137"/>
  <c r="M29" i="137"/>
  <c r="Q29" i="137"/>
  <c r="U29" i="137"/>
  <c r="AD86" i="128"/>
  <c r="G19" i="138" s="1"/>
  <c r="D5" i="134"/>
  <c r="L48" i="159"/>
  <c r="L50" i="159"/>
  <c r="L49" i="159"/>
  <c r="L51" i="159"/>
  <c r="L99" i="164"/>
  <c r="L101" i="164"/>
  <c r="L102" i="164"/>
  <c r="L100" i="164"/>
  <c r="L99" i="159"/>
  <c r="L100" i="159"/>
  <c r="L102" i="159"/>
  <c r="L101" i="159"/>
  <c r="L48" i="164"/>
  <c r="L50" i="164"/>
  <c r="L49" i="164"/>
  <c r="L51" i="164"/>
  <c r="O9" i="132"/>
  <c r="O10" i="132" s="1"/>
  <c r="M192" i="135" s="1"/>
  <c r="BS16" i="129"/>
  <c r="BS17" i="129"/>
  <c r="CR10" i="129"/>
  <c r="CM9" i="129"/>
  <c r="CH9" i="129"/>
  <c r="CC9" i="129"/>
  <c r="BX9" i="129"/>
  <c r="BS9" i="129"/>
  <c r="BD9" i="129"/>
  <c r="CR9" i="129"/>
  <c r="BN9" i="129"/>
  <c r="S9" i="132"/>
  <c r="S10" i="132" s="1"/>
  <c r="S39" i="132" s="1"/>
  <c r="K180" i="140"/>
  <c r="I180" i="140" s="1"/>
  <c r="K252" i="135"/>
  <c r="I252" i="135" s="1"/>
  <c r="K171" i="140"/>
  <c r="I171" i="140" s="1"/>
  <c r="K243" i="135"/>
  <c r="I243" i="135" s="1"/>
  <c r="K175" i="140"/>
  <c r="I175" i="140" s="1"/>
  <c r="K247" i="135"/>
  <c r="I247" i="135" s="1"/>
  <c r="K179" i="140"/>
  <c r="I179" i="140" s="1"/>
  <c r="H205" i="140" s="1"/>
  <c r="T25" i="129" s="1"/>
  <c r="K234" i="135"/>
  <c r="I234" i="135" s="1"/>
  <c r="H266" i="135" s="1"/>
  <c r="K251" i="135"/>
  <c r="I251" i="135" s="1"/>
  <c r="H267" i="135" s="1"/>
  <c r="K183" i="140"/>
  <c r="I183" i="140" s="1"/>
  <c r="K255" i="135"/>
  <c r="I255" i="135" s="1"/>
  <c r="B63" i="140"/>
  <c r="B37" i="135"/>
  <c r="B122" i="140"/>
  <c r="B156" i="135"/>
  <c r="G22" i="133"/>
  <c r="G23" i="133" s="1"/>
  <c r="L9" i="132"/>
  <c r="L10" i="132" s="1"/>
  <c r="G46" i="133"/>
  <c r="P9" i="132"/>
  <c r="P10" i="132" s="1"/>
  <c r="K9" i="132"/>
  <c r="K10" i="132" s="1"/>
  <c r="K172" i="140"/>
  <c r="I172" i="140" s="1"/>
  <c r="K244" i="135"/>
  <c r="I244" i="135" s="1"/>
  <c r="G4" i="133"/>
  <c r="G5" i="133" s="1"/>
  <c r="I9" i="132"/>
  <c r="I10" i="132" s="1"/>
  <c r="X8" i="132"/>
  <c r="K176" i="140"/>
  <c r="I176" i="140" s="1"/>
  <c r="K231" i="135"/>
  <c r="I231" i="135" s="1"/>
  <c r="K248" i="135"/>
  <c r="I248" i="135" s="1"/>
  <c r="B78" i="140"/>
  <c r="B67" i="135"/>
  <c r="K173" i="140"/>
  <c r="I173" i="140" s="1"/>
  <c r="K245" i="135"/>
  <c r="I245" i="135" s="1"/>
  <c r="K177" i="140"/>
  <c r="I177" i="140" s="1"/>
  <c r="K249" i="135"/>
  <c r="I249" i="135" s="1"/>
  <c r="K232" i="135"/>
  <c r="I232" i="135" s="1"/>
  <c r="K181" i="140"/>
  <c r="I181" i="140" s="1"/>
  <c r="K253" i="135"/>
  <c r="I253" i="135" s="1"/>
  <c r="B93" i="140"/>
  <c r="B97" i="135"/>
  <c r="BS15" i="129"/>
  <c r="B136" i="140"/>
  <c r="B185" i="135"/>
  <c r="K170" i="140"/>
  <c r="I170" i="140" s="1"/>
  <c r="K242" i="135"/>
  <c r="I242" i="135" s="1"/>
  <c r="K174" i="140"/>
  <c r="I174" i="140" s="1"/>
  <c r="K246" i="135"/>
  <c r="I246" i="135" s="1"/>
  <c r="K178" i="140"/>
  <c r="I178" i="140" s="1"/>
  <c r="K250" i="135"/>
  <c r="I250" i="135" s="1"/>
  <c r="K233" i="135"/>
  <c r="I233" i="135" s="1"/>
  <c r="K182" i="140"/>
  <c r="I182" i="140" s="1"/>
  <c r="K254" i="135"/>
  <c r="I254" i="135" s="1"/>
  <c r="G62" i="133"/>
  <c r="W9" i="132"/>
  <c r="W10" i="132" s="1"/>
  <c r="V73" i="132"/>
  <c r="R73" i="132"/>
  <c r="N73" i="132"/>
  <c r="J73" i="132"/>
  <c r="W73" i="132"/>
  <c r="S73" i="132"/>
  <c r="O73" i="132"/>
  <c r="K73" i="132"/>
  <c r="P73" i="132"/>
  <c r="U73" i="132"/>
  <c r="M73" i="132"/>
  <c r="T73" i="132"/>
  <c r="L73" i="132"/>
  <c r="Q73" i="132"/>
  <c r="I73" i="132"/>
  <c r="V74" i="132"/>
  <c r="R74" i="132"/>
  <c r="N74" i="132"/>
  <c r="J74" i="132"/>
  <c r="W74" i="132"/>
  <c r="S74" i="132"/>
  <c r="O74" i="132"/>
  <c r="K74" i="132"/>
  <c r="P74" i="132"/>
  <c r="U74" i="132"/>
  <c r="M74" i="132"/>
  <c r="T74" i="132"/>
  <c r="L74" i="132"/>
  <c r="Q74" i="132"/>
  <c r="I74" i="132"/>
  <c r="V75" i="132"/>
  <c r="R75" i="132"/>
  <c r="N75" i="132"/>
  <c r="J75" i="132"/>
  <c r="W75" i="132"/>
  <c r="S75" i="132"/>
  <c r="O75" i="132"/>
  <c r="K75" i="132"/>
  <c r="P75" i="132"/>
  <c r="U75" i="132"/>
  <c r="M75" i="132"/>
  <c r="T75" i="132"/>
  <c r="L75" i="132"/>
  <c r="Q75" i="132"/>
  <c r="I75" i="132"/>
  <c r="V76" i="132"/>
  <c r="R76" i="132"/>
  <c r="N76" i="132"/>
  <c r="J76" i="132"/>
  <c r="W76" i="132"/>
  <c r="S76" i="132"/>
  <c r="O76" i="132"/>
  <c r="K76" i="132"/>
  <c r="P76" i="132"/>
  <c r="U76" i="132"/>
  <c r="M76" i="132"/>
  <c r="T76" i="132"/>
  <c r="L76" i="132"/>
  <c r="Q76" i="132"/>
  <c r="I76" i="132"/>
  <c r="V77" i="132"/>
  <c r="R77" i="132"/>
  <c r="N77" i="132"/>
  <c r="J77" i="132"/>
  <c r="W77" i="132"/>
  <c r="S77" i="132"/>
  <c r="O77" i="132"/>
  <c r="K77" i="132"/>
  <c r="P77" i="132"/>
  <c r="U77" i="132"/>
  <c r="M77" i="132"/>
  <c r="T77" i="132"/>
  <c r="L77" i="132"/>
  <c r="Q77" i="132"/>
  <c r="I77" i="132"/>
  <c r="V78" i="132"/>
  <c r="R78" i="132"/>
  <c r="N78" i="132"/>
  <c r="J78" i="132"/>
  <c r="W78" i="132"/>
  <c r="S78" i="132"/>
  <c r="O78" i="132"/>
  <c r="K78" i="132"/>
  <c r="P78" i="132"/>
  <c r="U78" i="132"/>
  <c r="M78" i="132"/>
  <c r="T78" i="132"/>
  <c r="L78" i="132"/>
  <c r="Q78" i="132"/>
  <c r="I78" i="132"/>
  <c r="V79" i="132"/>
  <c r="R79" i="132"/>
  <c r="N79" i="132"/>
  <c r="J79" i="132"/>
  <c r="W79" i="132"/>
  <c r="S79" i="132"/>
  <c r="O79" i="132"/>
  <c r="K79" i="132"/>
  <c r="P79" i="132"/>
  <c r="U79" i="132"/>
  <c r="M79" i="132"/>
  <c r="T79" i="132"/>
  <c r="L79" i="132"/>
  <c r="Q79" i="132"/>
  <c r="I79" i="132"/>
  <c r="V80" i="132"/>
  <c r="R80" i="132"/>
  <c r="N80" i="132"/>
  <c r="J80" i="132"/>
  <c r="W80" i="132"/>
  <c r="S80" i="132"/>
  <c r="O80" i="132"/>
  <c r="K80" i="132"/>
  <c r="P80" i="132"/>
  <c r="U80" i="132"/>
  <c r="M80" i="132"/>
  <c r="T80" i="132"/>
  <c r="L80" i="132"/>
  <c r="Q80" i="132"/>
  <c r="I80" i="132"/>
  <c r="B3" i="140"/>
  <c r="B3" i="135"/>
  <c r="B108" i="140"/>
  <c r="B127" i="135"/>
  <c r="J9" i="132"/>
  <c r="N9" i="132"/>
  <c r="R9" i="132"/>
  <c r="V9" i="132"/>
  <c r="J10" i="132"/>
  <c r="N10" i="132"/>
  <c r="R10" i="132"/>
  <c r="V10" i="132"/>
  <c r="J66" i="132"/>
  <c r="H12" i="133" s="1"/>
  <c r="H13" i="133" s="1"/>
  <c r="G12" i="133"/>
  <c r="G13" i="133" s="1"/>
  <c r="N66" i="132"/>
  <c r="H36" i="133" s="1"/>
  <c r="H37" i="133" s="1"/>
  <c r="G36" i="133"/>
  <c r="G37" i="133" s="1"/>
  <c r="R66" i="132"/>
  <c r="H58" i="133" s="1"/>
  <c r="G58" i="133"/>
  <c r="V66" i="132"/>
  <c r="H78" i="133" s="1"/>
  <c r="G78" i="133"/>
  <c r="J67" i="132"/>
  <c r="H14" i="133" s="1"/>
  <c r="G14" i="133"/>
  <c r="N67" i="132"/>
  <c r="H38" i="133" s="1"/>
  <c r="G38" i="133"/>
  <c r="R67" i="132"/>
  <c r="H59" i="133" s="1"/>
  <c r="G59" i="133"/>
  <c r="V67" i="132"/>
  <c r="H79" i="133" s="1"/>
  <c r="G79" i="133"/>
  <c r="J69" i="132"/>
  <c r="H15" i="133" s="1"/>
  <c r="G15" i="133"/>
  <c r="N69" i="132"/>
  <c r="H39" i="133" s="1"/>
  <c r="G39" i="133"/>
  <c r="R69" i="132"/>
  <c r="H60" i="133" s="1"/>
  <c r="G60" i="133"/>
  <c r="V69" i="132"/>
  <c r="H80" i="133" s="1"/>
  <c r="G80" i="133"/>
  <c r="J19" i="132"/>
  <c r="N19" i="132"/>
  <c r="R19" i="132"/>
  <c r="V19" i="132"/>
  <c r="J20" i="132"/>
  <c r="J71" i="132" s="1"/>
  <c r="N20" i="132"/>
  <c r="N71" i="132" s="1"/>
  <c r="R20" i="132"/>
  <c r="R71" i="132" s="1"/>
  <c r="V20" i="132"/>
  <c r="J22" i="132"/>
  <c r="N22" i="132"/>
  <c r="R22" i="132"/>
  <c r="V22" i="132"/>
  <c r="J23" i="132"/>
  <c r="N23" i="132"/>
  <c r="R23" i="132"/>
  <c r="V23" i="132"/>
  <c r="J24" i="132"/>
  <c r="N24" i="132"/>
  <c r="R24" i="132"/>
  <c r="V24" i="132"/>
  <c r="J25" i="132"/>
  <c r="N25" i="132"/>
  <c r="R25" i="132"/>
  <c r="V25" i="132"/>
  <c r="J26" i="132"/>
  <c r="N26" i="132"/>
  <c r="R26" i="132"/>
  <c r="V26" i="132"/>
  <c r="J27" i="132"/>
  <c r="N27" i="132"/>
  <c r="R27" i="132"/>
  <c r="V27" i="132"/>
  <c r="J28" i="132"/>
  <c r="N28" i="132"/>
  <c r="R28" i="132"/>
  <c r="V28" i="132"/>
  <c r="J29" i="132"/>
  <c r="N29" i="132"/>
  <c r="R29" i="132"/>
  <c r="V29" i="132"/>
  <c r="M217" i="135"/>
  <c r="K217" i="135" s="1"/>
  <c r="K218" i="135" s="1"/>
  <c r="H62" i="133"/>
  <c r="M60" i="132"/>
  <c r="M61" i="132" s="1"/>
  <c r="U60" i="132"/>
  <c r="U61" i="132" s="1"/>
  <c r="M66" i="132"/>
  <c r="H30" i="133" s="1"/>
  <c r="H31" i="133" s="1"/>
  <c r="U66" i="132"/>
  <c r="H73" i="133" s="1"/>
  <c r="M67" i="132"/>
  <c r="H32" i="133" s="1"/>
  <c r="U67" i="132"/>
  <c r="H74" i="133" s="1"/>
  <c r="M69" i="132"/>
  <c r="H33" i="133" s="1"/>
  <c r="U69" i="132"/>
  <c r="H75" i="133" s="1"/>
  <c r="G18" i="133"/>
  <c r="G19" i="133" s="1"/>
  <c r="K66" i="132"/>
  <c r="H18" i="133" s="1"/>
  <c r="H19" i="133" s="1"/>
  <c r="G42" i="133"/>
  <c r="G43" i="133" s="1"/>
  <c r="O66" i="132"/>
  <c r="H42" i="133" s="1"/>
  <c r="H43" i="133" s="1"/>
  <c r="G63" i="133"/>
  <c r="S66" i="132"/>
  <c r="H63" i="133" s="1"/>
  <c r="G83" i="133"/>
  <c r="W66" i="132"/>
  <c r="H83" i="133" s="1"/>
  <c r="G20" i="133"/>
  <c r="K67" i="132"/>
  <c r="H20" i="133" s="1"/>
  <c r="G44" i="133"/>
  <c r="O67" i="132"/>
  <c r="H44" i="133" s="1"/>
  <c r="G64" i="133"/>
  <c r="S67" i="132"/>
  <c r="H64" i="133" s="1"/>
  <c r="G84" i="133"/>
  <c r="W67" i="132"/>
  <c r="H84" i="133" s="1"/>
  <c r="G21" i="133"/>
  <c r="K69" i="132"/>
  <c r="H21" i="133" s="1"/>
  <c r="G45" i="133"/>
  <c r="O69" i="132"/>
  <c r="H45" i="133" s="1"/>
  <c r="G65" i="133"/>
  <c r="S69" i="132"/>
  <c r="H65" i="133" s="1"/>
  <c r="G85" i="133"/>
  <c r="W69" i="132"/>
  <c r="H85" i="133" s="1"/>
  <c r="H46" i="133"/>
  <c r="G5" i="134"/>
  <c r="G8" i="134"/>
  <c r="H66" i="133"/>
  <c r="H67" i="133" s="1"/>
  <c r="X59" i="132"/>
  <c r="P60" i="132"/>
  <c r="P61" i="132" s="1"/>
  <c r="P66" i="132"/>
  <c r="H48" i="133" s="1"/>
  <c r="P67" i="132"/>
  <c r="H49" i="133" s="1"/>
  <c r="P69" i="132"/>
  <c r="H50" i="133" s="1"/>
  <c r="X70" i="132"/>
  <c r="T9" i="132"/>
  <c r="T10" i="132" s="1"/>
  <c r="G25" i="133"/>
  <c r="X21" i="132"/>
  <c r="G4" i="134"/>
  <c r="H4" i="133"/>
  <c r="H5" i="133" s="1"/>
  <c r="H71" i="133"/>
  <c r="H72" i="133" s="1"/>
  <c r="G9" i="134"/>
  <c r="I60" i="132"/>
  <c r="I61" i="132" s="1"/>
  <c r="Q60" i="132"/>
  <c r="Q61" i="132" s="1"/>
  <c r="I66" i="132"/>
  <c r="H6" i="133" s="1"/>
  <c r="Q66" i="132"/>
  <c r="H53" i="133" s="1"/>
  <c r="I67" i="132"/>
  <c r="H8" i="133" s="1"/>
  <c r="Q67" i="132"/>
  <c r="H54" i="133" s="1"/>
  <c r="I69" i="132"/>
  <c r="H9" i="133" s="1"/>
  <c r="Q69" i="132"/>
  <c r="H55" i="133" s="1"/>
  <c r="M9" i="132"/>
  <c r="M10" i="132" s="1"/>
  <c r="Q9" i="132"/>
  <c r="Q10" i="132" s="1"/>
  <c r="U9" i="132"/>
  <c r="U10" i="132" s="1"/>
  <c r="G31" i="133"/>
  <c r="I19" i="132"/>
  <c r="M19" i="132"/>
  <c r="Q19" i="132"/>
  <c r="I20" i="132"/>
  <c r="I71" i="132" s="1"/>
  <c r="M20" i="132"/>
  <c r="M71" i="132" s="1"/>
  <c r="Q20" i="132"/>
  <c r="Q71" i="132" s="1"/>
  <c r="U20" i="132"/>
  <c r="U21" i="132" s="1"/>
  <c r="I22" i="132"/>
  <c r="M22" i="132"/>
  <c r="Q22" i="132"/>
  <c r="U22" i="132"/>
  <c r="I23" i="132"/>
  <c r="M23" i="132"/>
  <c r="Q23" i="132"/>
  <c r="U23" i="132"/>
  <c r="I24" i="132"/>
  <c r="M24" i="132"/>
  <c r="Q24" i="132"/>
  <c r="U24" i="132"/>
  <c r="I25" i="132"/>
  <c r="M25" i="132"/>
  <c r="Q25" i="132"/>
  <c r="U25" i="132"/>
  <c r="I26" i="132"/>
  <c r="M26" i="132"/>
  <c r="Q26" i="132"/>
  <c r="U26" i="132"/>
  <c r="I27" i="132"/>
  <c r="M27" i="132"/>
  <c r="Q27" i="132"/>
  <c r="U27" i="132"/>
  <c r="I28" i="132"/>
  <c r="M28" i="132"/>
  <c r="Q28" i="132"/>
  <c r="U28" i="132"/>
  <c r="I29" i="132"/>
  <c r="M29" i="132"/>
  <c r="Q29" i="132"/>
  <c r="U29" i="132"/>
  <c r="L60" i="132"/>
  <c r="L61" i="132" s="1"/>
  <c r="T60" i="132"/>
  <c r="T61" i="132" s="1"/>
  <c r="L66" i="132"/>
  <c r="H24" i="133" s="1"/>
  <c r="H25" i="133" s="1"/>
  <c r="T66" i="132"/>
  <c r="H68" i="133" s="1"/>
  <c r="L67" i="132"/>
  <c r="H26" i="133" s="1"/>
  <c r="T67" i="132"/>
  <c r="H69" i="133" s="1"/>
  <c r="L69" i="132"/>
  <c r="H27" i="133" s="1"/>
  <c r="T69" i="132"/>
  <c r="H70" i="133" s="1"/>
  <c r="K60" i="132"/>
  <c r="K61" i="132" s="1"/>
  <c r="O60" i="132"/>
  <c r="O61" i="132" s="1"/>
  <c r="S60" i="132"/>
  <c r="S61" i="132" s="1"/>
  <c r="W60" i="132"/>
  <c r="W61" i="132" s="1"/>
  <c r="G7" i="134"/>
  <c r="J60" i="132"/>
  <c r="N60" i="132"/>
  <c r="N61" i="132" s="1"/>
  <c r="R60" i="132"/>
  <c r="R61" i="132" s="1"/>
  <c r="V60" i="132"/>
  <c r="V61" i="132" s="1"/>
  <c r="J61" i="132"/>
  <c r="H56" i="133"/>
  <c r="H57" i="133" s="1"/>
  <c r="H76" i="133"/>
  <c r="H77" i="133" s="1"/>
  <c r="K50" i="140"/>
  <c r="K162" i="140"/>
  <c r="I162" i="140" s="1"/>
  <c r="I163" i="140" s="1"/>
  <c r="G204" i="140" s="1"/>
  <c r="O24" i="129" s="1"/>
  <c r="M158" i="140"/>
  <c r="G47" i="139"/>
  <c r="X8" i="137"/>
  <c r="L9" i="137"/>
  <c r="L10" i="137" s="1"/>
  <c r="P9" i="137"/>
  <c r="P10" i="137" s="1"/>
  <c r="T9" i="137"/>
  <c r="T10" i="137" s="1"/>
  <c r="G24" i="139"/>
  <c r="G25" i="139" s="1"/>
  <c r="L66" i="137"/>
  <c r="H24" i="139" s="1"/>
  <c r="H25" i="139" s="1"/>
  <c r="G48" i="139"/>
  <c r="P66" i="137"/>
  <c r="H48" i="139" s="1"/>
  <c r="G68" i="139"/>
  <c r="T66" i="137"/>
  <c r="H68" i="139" s="1"/>
  <c r="G26" i="139"/>
  <c r="L67" i="137"/>
  <c r="H26" i="139" s="1"/>
  <c r="G49" i="139"/>
  <c r="P67" i="137"/>
  <c r="H49" i="139" s="1"/>
  <c r="G69" i="139"/>
  <c r="T67" i="137"/>
  <c r="H69" i="139" s="1"/>
  <c r="G27" i="139"/>
  <c r="L69" i="137"/>
  <c r="H27" i="139" s="1"/>
  <c r="G50" i="139"/>
  <c r="P69" i="137"/>
  <c r="H50" i="139" s="1"/>
  <c r="G70" i="139"/>
  <c r="T69" i="137"/>
  <c r="H70" i="139" s="1"/>
  <c r="U70" i="137"/>
  <c r="U72" i="137" s="1"/>
  <c r="Q70" i="137"/>
  <c r="Q72" i="137" s="1"/>
  <c r="M70" i="137"/>
  <c r="M72" i="137" s="1"/>
  <c r="I70" i="137"/>
  <c r="V70" i="137"/>
  <c r="V72" i="137" s="1"/>
  <c r="R70" i="137"/>
  <c r="R72" i="137" s="1"/>
  <c r="N70" i="137"/>
  <c r="N72" i="137" s="1"/>
  <c r="J70" i="137"/>
  <c r="J72" i="137" s="1"/>
  <c r="P70" i="137"/>
  <c r="W70" i="137"/>
  <c r="W72" i="137" s="1"/>
  <c r="O70" i="137"/>
  <c r="O72" i="137" s="1"/>
  <c r="X72" i="137"/>
  <c r="T70" i="137"/>
  <c r="T72" i="137" s="1"/>
  <c r="L70" i="137"/>
  <c r="L72" i="137" s="1"/>
  <c r="S70" i="137"/>
  <c r="K70" i="137"/>
  <c r="K72" i="137" s="1"/>
  <c r="X21" i="137"/>
  <c r="U73" i="137"/>
  <c r="Q73" i="137"/>
  <c r="M73" i="137"/>
  <c r="I73" i="137"/>
  <c r="V73" i="137"/>
  <c r="R73" i="137"/>
  <c r="N73" i="137"/>
  <c r="J73" i="137"/>
  <c r="T73" i="137"/>
  <c r="L73" i="137"/>
  <c r="S73" i="137"/>
  <c r="K73" i="137"/>
  <c r="P73" i="137"/>
  <c r="W73" i="137"/>
  <c r="O73" i="137"/>
  <c r="U74" i="137"/>
  <c r="Q74" i="137"/>
  <c r="M74" i="137"/>
  <c r="I74" i="137"/>
  <c r="V74" i="137"/>
  <c r="R74" i="137"/>
  <c r="N74" i="137"/>
  <c r="J74" i="137"/>
  <c r="T74" i="137"/>
  <c r="L74" i="137"/>
  <c r="S74" i="137"/>
  <c r="K74" i="137"/>
  <c r="P74" i="137"/>
  <c r="W74" i="137"/>
  <c r="O74" i="137"/>
  <c r="U75" i="137"/>
  <c r="Q75" i="137"/>
  <c r="M75" i="137"/>
  <c r="I75" i="137"/>
  <c r="V75" i="137"/>
  <c r="R75" i="137"/>
  <c r="N75" i="137"/>
  <c r="J75" i="137"/>
  <c r="T75" i="137"/>
  <c r="L75" i="137"/>
  <c r="S75" i="137"/>
  <c r="K75" i="137"/>
  <c r="P75" i="137"/>
  <c r="W75" i="137"/>
  <c r="O75" i="137"/>
  <c r="U76" i="137"/>
  <c r="Q76" i="137"/>
  <c r="M76" i="137"/>
  <c r="I76" i="137"/>
  <c r="V76" i="137"/>
  <c r="R76" i="137"/>
  <c r="N76" i="137"/>
  <c r="J76" i="137"/>
  <c r="T76" i="137"/>
  <c r="L76" i="137"/>
  <c r="S76" i="137"/>
  <c r="K76" i="137"/>
  <c r="P76" i="137"/>
  <c r="W76" i="137"/>
  <c r="O76" i="137"/>
  <c r="U77" i="137"/>
  <c r="Q77" i="137"/>
  <c r="M77" i="137"/>
  <c r="I77" i="137"/>
  <c r="V77" i="137"/>
  <c r="R77" i="137"/>
  <c r="N77" i="137"/>
  <c r="J77" i="137"/>
  <c r="T77" i="137"/>
  <c r="L77" i="137"/>
  <c r="S77" i="137"/>
  <c r="K77" i="137"/>
  <c r="P77" i="137"/>
  <c r="W77" i="137"/>
  <c r="O77" i="137"/>
  <c r="U78" i="137"/>
  <c r="Q78" i="137"/>
  <c r="M78" i="137"/>
  <c r="I78" i="137"/>
  <c r="V78" i="137"/>
  <c r="R78" i="137"/>
  <c r="N78" i="137"/>
  <c r="J78" i="137"/>
  <c r="T78" i="137"/>
  <c r="L78" i="137"/>
  <c r="S78" i="137"/>
  <c r="K78" i="137"/>
  <c r="P78" i="137"/>
  <c r="W78" i="137"/>
  <c r="O78" i="137"/>
  <c r="U79" i="137"/>
  <c r="Q79" i="137"/>
  <c r="M79" i="137"/>
  <c r="I79" i="137"/>
  <c r="V79" i="137"/>
  <c r="R79" i="137"/>
  <c r="N79" i="137"/>
  <c r="J79" i="137"/>
  <c r="T79" i="137"/>
  <c r="L79" i="137"/>
  <c r="S79" i="137"/>
  <c r="K79" i="137"/>
  <c r="P79" i="137"/>
  <c r="W79" i="137"/>
  <c r="O79" i="137"/>
  <c r="U80" i="137"/>
  <c r="Q80" i="137"/>
  <c r="M80" i="137"/>
  <c r="I80" i="137"/>
  <c r="V80" i="137"/>
  <c r="R80" i="137"/>
  <c r="N80" i="137"/>
  <c r="J80" i="137"/>
  <c r="T80" i="137"/>
  <c r="L80" i="137"/>
  <c r="S80" i="137"/>
  <c r="K80" i="137"/>
  <c r="P80" i="137"/>
  <c r="W80" i="137"/>
  <c r="O80" i="137"/>
  <c r="I9" i="137"/>
  <c r="I10" i="137" s="1"/>
  <c r="M9" i="137"/>
  <c r="M10" i="137" s="1"/>
  <c r="Q9" i="137"/>
  <c r="Q10" i="137" s="1"/>
  <c r="U9" i="137"/>
  <c r="U10" i="137" s="1"/>
  <c r="G6" i="139"/>
  <c r="G7" i="139" s="1"/>
  <c r="I66" i="137"/>
  <c r="H6" i="139" s="1"/>
  <c r="G30" i="139"/>
  <c r="G31" i="139" s="1"/>
  <c r="M66" i="137"/>
  <c r="H30" i="139" s="1"/>
  <c r="H31" i="139" s="1"/>
  <c r="G53" i="139"/>
  <c r="Q66" i="137"/>
  <c r="H53" i="139" s="1"/>
  <c r="G73" i="139"/>
  <c r="U66" i="137"/>
  <c r="H73" i="139" s="1"/>
  <c r="G8" i="139"/>
  <c r="K40" i="140" s="1"/>
  <c r="I40" i="140" s="1"/>
  <c r="I67" i="137"/>
  <c r="H8" i="139" s="1"/>
  <c r="G32" i="139"/>
  <c r="M67" i="137"/>
  <c r="H32" i="139" s="1"/>
  <c r="G54" i="139"/>
  <c r="Q67" i="137"/>
  <c r="H54" i="139" s="1"/>
  <c r="G74" i="139"/>
  <c r="U67" i="137"/>
  <c r="H74" i="139" s="1"/>
  <c r="G9" i="139"/>
  <c r="I69" i="137"/>
  <c r="H9" i="139" s="1"/>
  <c r="G33" i="139"/>
  <c r="M69" i="137"/>
  <c r="H33" i="139" s="1"/>
  <c r="G55" i="139"/>
  <c r="Q69" i="137"/>
  <c r="H55" i="139" s="1"/>
  <c r="G75" i="139"/>
  <c r="U69" i="137"/>
  <c r="H75" i="139" s="1"/>
  <c r="J9" i="137"/>
  <c r="J10" i="137" s="1"/>
  <c r="N9" i="137"/>
  <c r="N10" i="137" s="1"/>
  <c r="R9" i="137"/>
  <c r="R10" i="137" s="1"/>
  <c r="V9" i="137"/>
  <c r="V10" i="137" s="1"/>
  <c r="G12" i="139"/>
  <c r="G13" i="139" s="1"/>
  <c r="J66" i="137"/>
  <c r="H12" i="139" s="1"/>
  <c r="H13" i="139" s="1"/>
  <c r="G36" i="139"/>
  <c r="G37" i="139" s="1"/>
  <c r="N66" i="137"/>
  <c r="H36" i="139" s="1"/>
  <c r="H37" i="139" s="1"/>
  <c r="G58" i="139"/>
  <c r="R66" i="137"/>
  <c r="H58" i="139" s="1"/>
  <c r="G78" i="139"/>
  <c r="V66" i="137"/>
  <c r="H78" i="139" s="1"/>
  <c r="G14" i="139"/>
  <c r="J67" i="137"/>
  <c r="H14" i="139" s="1"/>
  <c r="G38" i="139"/>
  <c r="N67" i="137"/>
  <c r="H38" i="139" s="1"/>
  <c r="G59" i="139"/>
  <c r="R67" i="137"/>
  <c r="H59" i="139" s="1"/>
  <c r="G79" i="139"/>
  <c r="V67" i="137"/>
  <c r="H79" i="139" s="1"/>
  <c r="G15" i="139"/>
  <c r="J69" i="137"/>
  <c r="H15" i="139" s="1"/>
  <c r="G39" i="139"/>
  <c r="N69" i="137"/>
  <c r="H39" i="139" s="1"/>
  <c r="G60" i="139"/>
  <c r="R69" i="137"/>
  <c r="H60" i="139" s="1"/>
  <c r="G80" i="139"/>
  <c r="V69" i="137"/>
  <c r="H80" i="139" s="1"/>
  <c r="K52" i="140"/>
  <c r="G62" i="139"/>
  <c r="K9" i="137"/>
  <c r="K10" i="137" s="1"/>
  <c r="O9" i="137"/>
  <c r="O10" i="137" s="1"/>
  <c r="S9" i="137"/>
  <c r="S10" i="137" s="1"/>
  <c r="W9" i="137"/>
  <c r="W10" i="137" s="1"/>
  <c r="G18" i="139"/>
  <c r="G19" i="139" s="1"/>
  <c r="K66" i="137"/>
  <c r="H18" i="139" s="1"/>
  <c r="G42" i="139"/>
  <c r="G43" i="139" s="1"/>
  <c r="O66" i="137"/>
  <c r="H42" i="139" s="1"/>
  <c r="G63" i="139"/>
  <c r="S66" i="137"/>
  <c r="H63" i="139" s="1"/>
  <c r="G83" i="139"/>
  <c r="W66" i="137"/>
  <c r="H83" i="139" s="1"/>
  <c r="G20" i="139"/>
  <c r="K67" i="137"/>
  <c r="H20" i="139" s="1"/>
  <c r="G44" i="139"/>
  <c r="O67" i="137"/>
  <c r="H44" i="139" s="1"/>
  <c r="G64" i="139"/>
  <c r="S67" i="137"/>
  <c r="H64" i="139" s="1"/>
  <c r="G84" i="139"/>
  <c r="W67" i="137"/>
  <c r="H84" i="139" s="1"/>
  <c r="G21" i="139"/>
  <c r="K69" i="137"/>
  <c r="H21" i="139" s="1"/>
  <c r="G45" i="139"/>
  <c r="O69" i="137"/>
  <c r="H45" i="139" s="1"/>
  <c r="G65" i="139"/>
  <c r="S69" i="137"/>
  <c r="H65" i="139" s="1"/>
  <c r="G85" i="139"/>
  <c r="W69" i="137"/>
  <c r="H85" i="139" s="1"/>
  <c r="W19" i="137"/>
  <c r="W21" i="137" s="1"/>
  <c r="H16" i="139"/>
  <c r="H17" i="139" s="1"/>
  <c r="X59" i="137"/>
  <c r="K60" i="137"/>
  <c r="K61" i="137" s="1"/>
  <c r="H40" i="139"/>
  <c r="H41" i="139" s="1"/>
  <c r="O60" i="137"/>
  <c r="O61" i="137" s="1"/>
  <c r="H56" i="139"/>
  <c r="H57" i="139" s="1"/>
  <c r="G6" i="138"/>
  <c r="H76" i="139"/>
  <c r="H77" i="139" s="1"/>
  <c r="G10" i="138"/>
  <c r="J60" i="137"/>
  <c r="J61" i="137" s="1"/>
  <c r="N60" i="137"/>
  <c r="N61" i="137" s="1"/>
  <c r="R60" i="137"/>
  <c r="R61" i="137" s="1"/>
  <c r="V60" i="137"/>
  <c r="V61" i="137" s="1"/>
  <c r="H61" i="139"/>
  <c r="G7" i="138"/>
  <c r="S60" i="137"/>
  <c r="S61" i="137" s="1"/>
  <c r="W60" i="137"/>
  <c r="W61" i="137" s="1"/>
  <c r="H46" i="139"/>
  <c r="G5" i="138"/>
  <c r="H66" i="139"/>
  <c r="H67" i="139" s="1"/>
  <c r="G8" i="138"/>
  <c r="L60" i="137"/>
  <c r="L61" i="137" s="1"/>
  <c r="P60" i="137"/>
  <c r="P61" i="137" s="1"/>
  <c r="T60" i="137"/>
  <c r="T61" i="137" s="1"/>
  <c r="H4" i="139"/>
  <c r="H5" i="139" s="1"/>
  <c r="G4" i="138"/>
  <c r="H71" i="139"/>
  <c r="H72" i="139" s="1"/>
  <c r="G9" i="138"/>
  <c r="I60" i="137"/>
  <c r="I61" i="137" s="1"/>
  <c r="M60" i="137"/>
  <c r="M61" i="137" s="1"/>
  <c r="Q60" i="137"/>
  <c r="Q61" i="137" s="1"/>
  <c r="U60" i="137"/>
  <c r="U61" i="137" s="1"/>
  <c r="K21" i="132" l="1"/>
  <c r="W21" i="132"/>
  <c r="O21" i="132"/>
  <c r="T21" i="132"/>
  <c r="I72" i="137"/>
  <c r="S72" i="137"/>
  <c r="S21" i="132"/>
  <c r="P72" i="137"/>
  <c r="T21" i="137"/>
  <c r="P21" i="132"/>
  <c r="P21" i="137"/>
  <c r="L21" i="132"/>
  <c r="O39" i="132"/>
  <c r="L21" i="137"/>
  <c r="G19" i="134"/>
  <c r="I21" i="132"/>
  <c r="U21" i="137"/>
  <c r="Q21" i="137"/>
  <c r="M21" i="137"/>
  <c r="I21" i="137"/>
  <c r="G23" i="138"/>
  <c r="I258" i="135"/>
  <c r="E267" i="135" s="1"/>
  <c r="O11" i="132"/>
  <c r="O12" i="132" s="1"/>
  <c r="K48" i="164"/>
  <c r="K50" i="164"/>
  <c r="K51" i="164"/>
  <c r="K49" i="164"/>
  <c r="K99" i="159"/>
  <c r="K100" i="159"/>
  <c r="K101" i="159"/>
  <c r="K102" i="159"/>
  <c r="K99" i="164"/>
  <c r="K101" i="164"/>
  <c r="K100" i="164"/>
  <c r="K102" i="164"/>
  <c r="K48" i="159"/>
  <c r="K50" i="159"/>
  <c r="K51" i="159"/>
  <c r="K49" i="159"/>
  <c r="S11" i="132"/>
  <c r="S12" i="132" s="1"/>
  <c r="O35" i="132"/>
  <c r="S35" i="132"/>
  <c r="G205" i="140"/>
  <c r="O25" i="129" s="1"/>
  <c r="G7" i="133"/>
  <c r="F205" i="140"/>
  <c r="J25" i="129" s="1"/>
  <c r="F267" i="135"/>
  <c r="J13" i="129" s="1"/>
  <c r="T90" i="137"/>
  <c r="T91" i="137" s="1"/>
  <c r="T86" i="137"/>
  <c r="T62" i="137"/>
  <c r="T63" i="137" s="1"/>
  <c r="M74" i="135"/>
  <c r="K39" i="132"/>
  <c r="K35" i="132"/>
  <c r="K11" i="132"/>
  <c r="M134" i="135"/>
  <c r="M35" i="132"/>
  <c r="M11" i="132"/>
  <c r="M12" i="132" s="1"/>
  <c r="M39" i="132"/>
  <c r="U90" i="132"/>
  <c r="U91" i="132" s="1"/>
  <c r="U86" i="132"/>
  <c r="U62" i="132"/>
  <c r="M10" i="135"/>
  <c r="I35" i="132"/>
  <c r="I11" i="132"/>
  <c r="I12" i="132" s="1"/>
  <c r="X10" i="132"/>
  <c r="I39" i="132"/>
  <c r="M104" i="135"/>
  <c r="L35" i="132"/>
  <c r="L11" i="132"/>
  <c r="L39" i="132"/>
  <c r="R90" i="137"/>
  <c r="R86" i="137"/>
  <c r="R62" i="137"/>
  <c r="T90" i="132"/>
  <c r="T91" i="132" s="1"/>
  <c r="T62" i="132"/>
  <c r="T86" i="132"/>
  <c r="M90" i="132"/>
  <c r="M86" i="132"/>
  <c r="M62" i="132"/>
  <c r="M63" i="132" s="1"/>
  <c r="P35" i="132"/>
  <c r="P11" i="132"/>
  <c r="P12" i="132" s="1"/>
  <c r="P39" i="132"/>
  <c r="Q86" i="137"/>
  <c r="Q62" i="137"/>
  <c r="Q63" i="137" s="1"/>
  <c r="Q90" i="137"/>
  <c r="W39" i="132"/>
  <c r="W40" i="132" s="1"/>
  <c r="W35" i="132"/>
  <c r="W11" i="132"/>
  <c r="W12" i="132" s="1"/>
  <c r="S90" i="137"/>
  <c r="S86" i="137"/>
  <c r="S62" i="137"/>
  <c r="S63" i="137" s="1"/>
  <c r="L90" i="137"/>
  <c r="L86" i="137"/>
  <c r="L62" i="137"/>
  <c r="L63" i="137" s="1"/>
  <c r="K90" i="137"/>
  <c r="K86" i="137"/>
  <c r="K62" i="137"/>
  <c r="S39" i="137"/>
  <c r="S35" i="137"/>
  <c r="S11" i="137"/>
  <c r="S12" i="137" s="1"/>
  <c r="L39" i="137"/>
  <c r="L35" i="137"/>
  <c r="L11" i="137"/>
  <c r="L12" i="137" s="1"/>
  <c r="H47" i="139"/>
  <c r="O90" i="137"/>
  <c r="O62" i="137"/>
  <c r="O86" i="137"/>
  <c r="J35" i="137"/>
  <c r="J11" i="137"/>
  <c r="J12" i="137" s="1"/>
  <c r="J39" i="137"/>
  <c r="I186" i="140"/>
  <c r="E205" i="140" s="1"/>
  <c r="M86" i="137"/>
  <c r="M90" i="137"/>
  <c r="M62" i="137"/>
  <c r="M63" i="137" s="1"/>
  <c r="W90" i="137"/>
  <c r="W91" i="137" s="1"/>
  <c r="W86" i="137"/>
  <c r="W62" i="137"/>
  <c r="W63" i="137" s="1"/>
  <c r="N90" i="137"/>
  <c r="N86" i="137"/>
  <c r="N62" i="137"/>
  <c r="N63" i="137" s="1"/>
  <c r="M128" i="140"/>
  <c r="K128" i="140" s="1"/>
  <c r="I128" i="140" s="1"/>
  <c r="M126" i="140"/>
  <c r="M124" i="140"/>
  <c r="M114" i="140"/>
  <c r="K114" i="140" s="1"/>
  <c r="I114" i="140" s="1"/>
  <c r="M112" i="140"/>
  <c r="M110" i="140"/>
  <c r="I86" i="137"/>
  <c r="I62" i="137"/>
  <c r="I63" i="137" s="1"/>
  <c r="I90" i="137"/>
  <c r="X61" i="137"/>
  <c r="J90" i="137"/>
  <c r="J86" i="137"/>
  <c r="J62" i="137"/>
  <c r="I205" i="140"/>
  <c r="Y25" i="129" s="1"/>
  <c r="U86" i="137"/>
  <c r="U62" i="137"/>
  <c r="U90" i="137"/>
  <c r="U91" i="137" s="1"/>
  <c r="V90" i="137"/>
  <c r="V91" i="137" s="1"/>
  <c r="V86" i="137"/>
  <c r="V62" i="137"/>
  <c r="V63" i="137" s="1"/>
  <c r="H43" i="139"/>
  <c r="W39" i="137"/>
  <c r="W40" i="137" s="1"/>
  <c r="W11" i="137"/>
  <c r="W35" i="137"/>
  <c r="M69" i="140"/>
  <c r="K69" i="140" s="1"/>
  <c r="I69" i="140" s="1"/>
  <c r="M67" i="140"/>
  <c r="M65" i="140"/>
  <c r="N35" i="137"/>
  <c r="N39" i="137"/>
  <c r="N11" i="137"/>
  <c r="H7" i="139"/>
  <c r="M5" i="140" s="1"/>
  <c r="M35" i="137"/>
  <c r="M39" i="137"/>
  <c r="M11" i="137"/>
  <c r="M12" i="137" s="1"/>
  <c r="K103" i="140"/>
  <c r="I103" i="140" s="1"/>
  <c r="K104" i="140"/>
  <c r="I104" i="140" s="1"/>
  <c r="K102" i="140"/>
  <c r="I102" i="140" s="1"/>
  <c r="J86" i="132"/>
  <c r="J62" i="132"/>
  <c r="J90" i="132"/>
  <c r="O90" i="132"/>
  <c r="O86" i="132"/>
  <c r="O62" i="132"/>
  <c r="Q21" i="132"/>
  <c r="H7" i="133"/>
  <c r="X60" i="132"/>
  <c r="X65" i="132" s="1"/>
  <c r="M69" i="135"/>
  <c r="M73" i="135"/>
  <c r="K73" i="135" s="1"/>
  <c r="I73" i="135" s="1"/>
  <c r="M71" i="135"/>
  <c r="I217" i="135"/>
  <c r="I218" i="135" s="1"/>
  <c r="H263" i="135"/>
  <c r="T7" i="129" s="1"/>
  <c r="T8" i="129" s="1"/>
  <c r="R21" i="132"/>
  <c r="M158" i="135"/>
  <c r="M162" i="135"/>
  <c r="K162" i="135" s="1"/>
  <c r="I162" i="135" s="1"/>
  <c r="M160" i="135"/>
  <c r="R39" i="132"/>
  <c r="R35" i="132"/>
  <c r="R11" i="132"/>
  <c r="R12" i="132" s="1"/>
  <c r="K226" i="135"/>
  <c r="I226" i="135" s="1"/>
  <c r="I227" i="135" s="1"/>
  <c r="G47" i="133"/>
  <c r="I267" i="135"/>
  <c r="Y13" i="129" s="1"/>
  <c r="M193" i="135"/>
  <c r="K193" i="135" s="1"/>
  <c r="I193" i="135" s="1"/>
  <c r="K192" i="135"/>
  <c r="I192" i="135" s="1"/>
  <c r="K53" i="140"/>
  <c r="I53" i="140" s="1"/>
  <c r="O52" i="140"/>
  <c r="I52" i="140" s="1"/>
  <c r="K72" i="140"/>
  <c r="I72" i="140" s="1"/>
  <c r="K73" i="140"/>
  <c r="I73" i="140" s="1"/>
  <c r="K74" i="140"/>
  <c r="I74" i="140" s="1"/>
  <c r="K39" i="140"/>
  <c r="I39" i="140" s="1"/>
  <c r="I35" i="137"/>
  <c r="I11" i="137"/>
  <c r="I39" i="137"/>
  <c r="X10" i="137"/>
  <c r="X9" i="137"/>
  <c r="X14" i="137" s="1"/>
  <c r="T39" i="137"/>
  <c r="T40" i="137" s="1"/>
  <c r="T35" i="137"/>
  <c r="T11" i="137"/>
  <c r="M159" i="140"/>
  <c r="H158" i="140"/>
  <c r="V86" i="132"/>
  <c r="V62" i="132"/>
  <c r="V90" i="132"/>
  <c r="V91" i="132" s="1"/>
  <c r="K90" i="132"/>
  <c r="K86" i="132"/>
  <c r="K62" i="132"/>
  <c r="L90" i="132"/>
  <c r="L62" i="132"/>
  <c r="L86" i="132"/>
  <c r="M21" i="132"/>
  <c r="U35" i="132"/>
  <c r="U11" i="132"/>
  <c r="U12" i="132" s="1"/>
  <c r="U39" i="132"/>
  <c r="U40" i="132" s="1"/>
  <c r="Q90" i="132"/>
  <c r="Q62" i="132"/>
  <c r="Q86" i="132"/>
  <c r="V70" i="132"/>
  <c r="V72" i="132" s="1"/>
  <c r="R70" i="132"/>
  <c r="R72" i="132" s="1"/>
  <c r="N70" i="132"/>
  <c r="N72" i="132" s="1"/>
  <c r="J70" i="132"/>
  <c r="J72" i="132" s="1"/>
  <c r="W70" i="132"/>
  <c r="W72" i="132" s="1"/>
  <c r="S70" i="132"/>
  <c r="S72" i="132" s="1"/>
  <c r="O70" i="132"/>
  <c r="O72" i="132" s="1"/>
  <c r="K70" i="132"/>
  <c r="K72" i="132" s="1"/>
  <c r="X72" i="132"/>
  <c r="T70" i="132"/>
  <c r="T72" i="132" s="1"/>
  <c r="L70" i="132"/>
  <c r="L72" i="132" s="1"/>
  <c r="Q70" i="132"/>
  <c r="Q72" i="132" s="1"/>
  <c r="I70" i="132"/>
  <c r="I72" i="132" s="1"/>
  <c r="P70" i="132"/>
  <c r="P72" i="132" s="1"/>
  <c r="U70" i="132"/>
  <c r="U72" i="132" s="1"/>
  <c r="M70" i="132"/>
  <c r="M72" i="132" s="1"/>
  <c r="P90" i="132"/>
  <c r="P86" i="132"/>
  <c r="P62" i="132"/>
  <c r="P63" i="132" s="1"/>
  <c r="K86" i="135"/>
  <c r="I86" i="135" s="1"/>
  <c r="K89" i="135"/>
  <c r="I89" i="135" s="1"/>
  <c r="K87" i="135"/>
  <c r="I87" i="135" s="1"/>
  <c r="K88" i="135"/>
  <c r="I88" i="135" s="1"/>
  <c r="N21" i="132"/>
  <c r="K58" i="135"/>
  <c r="I58" i="135" s="1"/>
  <c r="K59" i="135"/>
  <c r="I59" i="135" s="1"/>
  <c r="K56" i="135"/>
  <c r="I56" i="135" s="1"/>
  <c r="K57" i="135"/>
  <c r="I57" i="135" s="1"/>
  <c r="M163" i="135"/>
  <c r="N39" i="132"/>
  <c r="N35" i="132"/>
  <c r="N11" i="132"/>
  <c r="G267" i="135"/>
  <c r="O13" i="129" s="1"/>
  <c r="P90" i="137"/>
  <c r="P62" i="137"/>
  <c r="P86" i="137"/>
  <c r="K147" i="140"/>
  <c r="I147" i="140" s="1"/>
  <c r="K145" i="140"/>
  <c r="I145" i="140" s="1"/>
  <c r="K146" i="140"/>
  <c r="I146" i="140" s="1"/>
  <c r="O39" i="137"/>
  <c r="O11" i="137"/>
  <c r="O12" i="137" s="1"/>
  <c r="O35" i="137"/>
  <c r="V35" i="137"/>
  <c r="V39" i="137"/>
  <c r="V40" i="137" s="1"/>
  <c r="V11" i="137"/>
  <c r="U35" i="137"/>
  <c r="U39" i="137"/>
  <c r="U40" i="137" s="1"/>
  <c r="U11" i="137"/>
  <c r="P39" i="137"/>
  <c r="P35" i="137"/>
  <c r="P11" i="137"/>
  <c r="R86" i="132"/>
  <c r="R62" i="132"/>
  <c r="R63" i="132" s="1"/>
  <c r="R90" i="132"/>
  <c r="W90" i="132"/>
  <c r="W91" i="132" s="1"/>
  <c r="W86" i="132"/>
  <c r="W62" i="132"/>
  <c r="W63" i="132" s="1"/>
  <c r="Q35" i="132"/>
  <c r="Q11" i="132"/>
  <c r="Q12" i="132" s="1"/>
  <c r="Q39" i="132"/>
  <c r="I90" i="132"/>
  <c r="I62" i="132"/>
  <c r="X61" i="132"/>
  <c r="I86" i="132"/>
  <c r="K116" i="135"/>
  <c r="I116" i="135" s="1"/>
  <c r="K119" i="135"/>
  <c r="I119" i="135" s="1"/>
  <c r="K118" i="135"/>
  <c r="I118" i="135" s="1"/>
  <c r="K117" i="135"/>
  <c r="I117" i="135" s="1"/>
  <c r="M187" i="135"/>
  <c r="M191" i="135"/>
  <c r="K191" i="135" s="1"/>
  <c r="I191" i="135" s="1"/>
  <c r="M189" i="135"/>
  <c r="J21" i="132"/>
  <c r="M43" i="135"/>
  <c r="K43" i="135" s="1"/>
  <c r="I43" i="135" s="1"/>
  <c r="M41" i="135"/>
  <c r="M39" i="135"/>
  <c r="M44" i="135"/>
  <c r="J39" i="132"/>
  <c r="J35" i="132"/>
  <c r="J11" i="132"/>
  <c r="I237" i="135"/>
  <c r="E266" i="135" s="1"/>
  <c r="G266" i="135"/>
  <c r="O12" i="129" s="1"/>
  <c r="AD12" i="129" s="1"/>
  <c r="H19" i="139"/>
  <c r="X60" i="137"/>
  <c r="X65" i="137" s="1"/>
  <c r="M153" i="140"/>
  <c r="K153" i="140" s="1"/>
  <c r="H62" i="139"/>
  <c r="M25" i="140"/>
  <c r="K89" i="140"/>
  <c r="I89" i="140" s="1"/>
  <c r="K87" i="140"/>
  <c r="I87" i="140" s="1"/>
  <c r="K88" i="140"/>
  <c r="I88" i="140" s="1"/>
  <c r="K39" i="137"/>
  <c r="K35" i="137"/>
  <c r="K11" i="137"/>
  <c r="K12" i="137" s="1"/>
  <c r="K131" i="140"/>
  <c r="I131" i="140" s="1"/>
  <c r="K132" i="140"/>
  <c r="I132" i="140" s="1"/>
  <c r="K133" i="140"/>
  <c r="I133" i="140" s="1"/>
  <c r="R35" i="137"/>
  <c r="R11" i="137"/>
  <c r="R12" i="137" s="1"/>
  <c r="R39" i="137"/>
  <c r="K117" i="140"/>
  <c r="I117" i="140" s="1"/>
  <c r="K118" i="140"/>
  <c r="I118" i="140" s="1"/>
  <c r="K119" i="140"/>
  <c r="I119" i="140" s="1"/>
  <c r="Q35" i="137"/>
  <c r="Q11" i="137"/>
  <c r="Q12" i="137" s="1"/>
  <c r="Q39" i="137"/>
  <c r="M97" i="140"/>
  <c r="M95" i="140"/>
  <c r="M99" i="140"/>
  <c r="K99" i="140" s="1"/>
  <c r="I99" i="140" s="1"/>
  <c r="K51" i="140"/>
  <c r="I51" i="140" s="1"/>
  <c r="O50" i="140"/>
  <c r="I50" i="140" s="1"/>
  <c r="N86" i="132"/>
  <c r="N62" i="132"/>
  <c r="N63" i="132" s="1"/>
  <c r="N90" i="132"/>
  <c r="S90" i="132"/>
  <c r="S86" i="132"/>
  <c r="S62" i="132"/>
  <c r="M99" i="135"/>
  <c r="M101" i="135"/>
  <c r="M103" i="135"/>
  <c r="K103" i="135" s="1"/>
  <c r="I103" i="135" s="1"/>
  <c r="K146" i="135"/>
  <c r="I146" i="135" s="1"/>
  <c r="K148" i="135"/>
  <c r="I148" i="135" s="1"/>
  <c r="K149" i="135"/>
  <c r="I149" i="135" s="1"/>
  <c r="K147" i="135"/>
  <c r="I147" i="135" s="1"/>
  <c r="T35" i="132"/>
  <c r="T11" i="132"/>
  <c r="T12" i="132" s="1"/>
  <c r="T39" i="132"/>
  <c r="T40" i="132" s="1"/>
  <c r="M222" i="135"/>
  <c r="H47" i="133"/>
  <c r="K204" i="135"/>
  <c r="I204" i="135" s="1"/>
  <c r="K205" i="135"/>
  <c r="I205" i="135" s="1"/>
  <c r="K206" i="135"/>
  <c r="I206" i="135" s="1"/>
  <c r="K207" i="135"/>
  <c r="I207" i="135" s="1"/>
  <c r="M129" i="135"/>
  <c r="M133" i="135"/>
  <c r="K133" i="135" s="1"/>
  <c r="I133" i="135" s="1"/>
  <c r="M131" i="135"/>
  <c r="V21" i="132"/>
  <c r="K175" i="135"/>
  <c r="I175" i="135" s="1"/>
  <c r="K177" i="135"/>
  <c r="I177" i="135" s="1"/>
  <c r="K178" i="135"/>
  <c r="I178" i="135" s="1"/>
  <c r="K176" i="135"/>
  <c r="I176" i="135" s="1"/>
  <c r="V39" i="132"/>
  <c r="V40" i="132" s="1"/>
  <c r="V35" i="132"/>
  <c r="V11" i="132"/>
  <c r="V12" i="132" s="1"/>
  <c r="X9" i="132"/>
  <c r="X14" i="132" s="1"/>
  <c r="O13" i="132"/>
  <c r="S13" i="132" l="1"/>
  <c r="K26" i="135"/>
  <c r="I26" i="135" s="1"/>
  <c r="G23" i="134"/>
  <c r="K24" i="135"/>
  <c r="I24" i="135" s="1"/>
  <c r="I75" i="140"/>
  <c r="I105" i="140"/>
  <c r="I90" i="140"/>
  <c r="J48" i="159"/>
  <c r="J50" i="159"/>
  <c r="J49" i="159"/>
  <c r="J51" i="159"/>
  <c r="J99" i="159"/>
  <c r="J101" i="159"/>
  <c r="J100" i="159"/>
  <c r="J102" i="159"/>
  <c r="J99" i="164"/>
  <c r="J101" i="164"/>
  <c r="J102" i="164"/>
  <c r="J100" i="164"/>
  <c r="J48" i="164"/>
  <c r="J50" i="164"/>
  <c r="J51" i="164"/>
  <c r="J49" i="164"/>
  <c r="G265" i="135"/>
  <c r="BD34" i="129"/>
  <c r="BS34" i="129" s="1"/>
  <c r="O11" i="129" s="1"/>
  <c r="AD13" i="129"/>
  <c r="K27" i="135"/>
  <c r="I27" i="135" s="1"/>
  <c r="K25" i="135"/>
  <c r="I25" i="135" s="1"/>
  <c r="I148" i="140"/>
  <c r="O30" i="132"/>
  <c r="K41" i="135"/>
  <c r="I41" i="135" s="1"/>
  <c r="M42" i="135"/>
  <c r="K42" i="135" s="1"/>
  <c r="I42" i="135" s="1"/>
  <c r="M100" i="135"/>
  <c r="K100" i="135" s="1"/>
  <c r="I100" i="135" s="1"/>
  <c r="K99" i="135"/>
  <c r="V13" i="132"/>
  <c r="M223" i="135"/>
  <c r="H222" i="135"/>
  <c r="T13" i="132"/>
  <c r="K101" i="135"/>
  <c r="I101" i="135" s="1"/>
  <c r="M102" i="135"/>
  <c r="K102" i="135" s="1"/>
  <c r="I102" i="135" s="1"/>
  <c r="N64" i="132"/>
  <c r="Q13" i="137"/>
  <c r="R13" i="137"/>
  <c r="M27" i="140"/>
  <c r="K27" i="140" s="1"/>
  <c r="I27" i="140" s="1"/>
  <c r="M28" i="140"/>
  <c r="K28" i="140" s="1"/>
  <c r="I28" i="140" s="1"/>
  <c r="K25" i="140"/>
  <c r="I25" i="140" s="1"/>
  <c r="M26" i="140"/>
  <c r="K26" i="140" s="1"/>
  <c r="I26" i="140" s="1"/>
  <c r="M40" i="135"/>
  <c r="K40" i="135" s="1"/>
  <c r="I40" i="135" s="1"/>
  <c r="K39" i="135"/>
  <c r="H86" i="133"/>
  <c r="X90" i="132"/>
  <c r="W64" i="132"/>
  <c r="O13" i="137"/>
  <c r="P64" i="132"/>
  <c r="U13" i="132"/>
  <c r="K158" i="140"/>
  <c r="K159" i="140"/>
  <c r="I159" i="140" s="1"/>
  <c r="X39" i="137"/>
  <c r="X35" i="137"/>
  <c r="K160" i="135"/>
  <c r="I160" i="135" s="1"/>
  <c r="M161" i="135"/>
  <c r="K161" i="135" s="1"/>
  <c r="I161" i="135" s="1"/>
  <c r="M70" i="135"/>
  <c r="K70" i="135" s="1"/>
  <c r="I70" i="135" s="1"/>
  <c r="K69" i="135"/>
  <c r="K5" i="140"/>
  <c r="M6" i="140"/>
  <c r="K6" i="140" s="1"/>
  <c r="I6" i="140" s="1"/>
  <c r="X86" i="137"/>
  <c r="K124" i="140"/>
  <c r="M125" i="140"/>
  <c r="K125" i="140" s="1"/>
  <c r="I125" i="140" s="1"/>
  <c r="W64" i="137"/>
  <c r="J13" i="137"/>
  <c r="S13" i="137"/>
  <c r="W13" i="132"/>
  <c r="P13" i="132"/>
  <c r="M105" i="135"/>
  <c r="K105" i="135" s="1"/>
  <c r="K104" i="135"/>
  <c r="I104" i="135" s="1"/>
  <c r="I13" i="132"/>
  <c r="X11" i="132"/>
  <c r="X15" i="132" s="1"/>
  <c r="M13" i="132"/>
  <c r="T64" i="137"/>
  <c r="S64" i="132"/>
  <c r="U13" i="137"/>
  <c r="P64" i="137"/>
  <c r="V64" i="132"/>
  <c r="I13" i="137"/>
  <c r="X11" i="137"/>
  <c r="X15" i="137" s="1"/>
  <c r="G88" i="139" s="1"/>
  <c r="K49" i="140"/>
  <c r="I49" i="140" s="1"/>
  <c r="I21" i="140"/>
  <c r="E268" i="135"/>
  <c r="H264" i="135"/>
  <c r="M9" i="135"/>
  <c r="K9" i="135" s="1"/>
  <c r="I9" i="135" s="1"/>
  <c r="M7" i="135"/>
  <c r="M5" i="135"/>
  <c r="J64" i="132"/>
  <c r="N13" i="137"/>
  <c r="U64" i="137"/>
  <c r="Y28" i="129"/>
  <c r="Y27" i="129"/>
  <c r="X90" i="137"/>
  <c r="M111" i="140"/>
  <c r="K111" i="140" s="1"/>
  <c r="I111" i="140" s="1"/>
  <c r="K110" i="140"/>
  <c r="M127" i="140"/>
  <c r="K127" i="140" s="1"/>
  <c r="I127" i="140" s="1"/>
  <c r="K126" i="140"/>
  <c r="I126" i="140" s="1"/>
  <c r="O64" i="137"/>
  <c r="M24" i="140"/>
  <c r="K24" i="140" s="1"/>
  <c r="I24" i="140" s="1"/>
  <c r="M23" i="140"/>
  <c r="K23" i="140" s="1"/>
  <c r="I23" i="140" s="1"/>
  <c r="K64" i="137"/>
  <c r="T64" i="132"/>
  <c r="R64" i="137"/>
  <c r="L13" i="132"/>
  <c r="X39" i="132"/>
  <c r="U64" i="132"/>
  <c r="K13" i="132"/>
  <c r="S30" i="132"/>
  <c r="M130" i="135"/>
  <c r="K130" i="135" s="1"/>
  <c r="I130" i="135" s="1"/>
  <c r="K129" i="135"/>
  <c r="I120" i="140"/>
  <c r="I134" i="140"/>
  <c r="I153" i="140"/>
  <c r="I154" i="140" s="1"/>
  <c r="K154" i="140"/>
  <c r="H202" i="140" s="1"/>
  <c r="T20" i="129" s="1"/>
  <c r="T21" i="129" s="1"/>
  <c r="M80" i="140"/>
  <c r="M84" i="140"/>
  <c r="K84" i="140" s="1"/>
  <c r="I84" i="140" s="1"/>
  <c r="M82" i="140"/>
  <c r="J13" i="132"/>
  <c r="K189" i="135"/>
  <c r="I189" i="135" s="1"/>
  <c r="M190" i="135"/>
  <c r="K190" i="135" s="1"/>
  <c r="I190" i="135" s="1"/>
  <c r="I64" i="132"/>
  <c r="X62" i="132"/>
  <c r="P13" i="137"/>
  <c r="U12" i="137"/>
  <c r="V13" i="137"/>
  <c r="P63" i="137"/>
  <c r="N13" i="132"/>
  <c r="Q64" i="132"/>
  <c r="L64" i="132"/>
  <c r="K64" i="132"/>
  <c r="V63" i="132"/>
  <c r="T13" i="137"/>
  <c r="I12" i="137"/>
  <c r="Y14" i="129"/>
  <c r="K71" i="135"/>
  <c r="I71" i="135" s="1"/>
  <c r="M72" i="135"/>
  <c r="K72" i="135" s="1"/>
  <c r="I72" i="135" s="1"/>
  <c r="O64" i="132"/>
  <c r="J63" i="132"/>
  <c r="N12" i="137"/>
  <c r="K65" i="140"/>
  <c r="M66" i="140"/>
  <c r="K66" i="140" s="1"/>
  <c r="I66" i="140" s="1"/>
  <c r="W13" i="137"/>
  <c r="M138" i="140"/>
  <c r="M142" i="140"/>
  <c r="K142" i="140" s="1"/>
  <c r="I142" i="140" s="1"/>
  <c r="M140" i="140"/>
  <c r="U63" i="137"/>
  <c r="J64" i="137"/>
  <c r="I64" i="137"/>
  <c r="X62" i="137"/>
  <c r="M9" i="140" s="1"/>
  <c r="K9" i="140" s="1"/>
  <c r="I9" i="140" s="1"/>
  <c r="K112" i="140"/>
  <c r="I112" i="140" s="1"/>
  <c r="M113" i="140"/>
  <c r="K113" i="140" s="1"/>
  <c r="I113" i="140" s="1"/>
  <c r="M64" i="137"/>
  <c r="O63" i="137"/>
  <c r="T63" i="132"/>
  <c r="R63" i="137"/>
  <c r="AD25" i="129"/>
  <c r="L12" i="132"/>
  <c r="G86" i="133"/>
  <c r="X35" i="132"/>
  <c r="U63" i="132"/>
  <c r="K12" i="132"/>
  <c r="M75" i="135"/>
  <c r="K75" i="135" s="1"/>
  <c r="I75" i="135" s="1"/>
  <c r="K74" i="135"/>
  <c r="I74" i="135" s="1"/>
  <c r="M188" i="135"/>
  <c r="K188" i="135" s="1"/>
  <c r="I188" i="135" s="1"/>
  <c r="K187" i="135"/>
  <c r="K131" i="135"/>
  <c r="I131" i="135" s="1"/>
  <c r="M132" i="135"/>
  <c r="K132" i="135" s="1"/>
  <c r="I132" i="135" s="1"/>
  <c r="S63" i="132"/>
  <c r="K95" i="140"/>
  <c r="M96" i="140"/>
  <c r="K96" i="140" s="1"/>
  <c r="I96" i="140" s="1"/>
  <c r="K97" i="140"/>
  <c r="I97" i="140" s="1"/>
  <c r="M98" i="140"/>
  <c r="K98" i="140" s="1"/>
  <c r="I98" i="140" s="1"/>
  <c r="K13" i="137"/>
  <c r="AQ9" i="129"/>
  <c r="J12" i="132"/>
  <c r="M45" i="135"/>
  <c r="K45" i="135" s="1"/>
  <c r="I45" i="135" s="1"/>
  <c r="K44" i="135"/>
  <c r="I44" i="135" s="1"/>
  <c r="X86" i="132"/>
  <c r="I63" i="132"/>
  <c r="Q13" i="132"/>
  <c r="R64" i="132"/>
  <c r="P12" i="137"/>
  <c r="V12" i="137"/>
  <c r="N12" i="132"/>
  <c r="M164" i="135"/>
  <c r="K164" i="135" s="1"/>
  <c r="K163" i="135"/>
  <c r="I163" i="135" s="1"/>
  <c r="Q63" i="132"/>
  <c r="L63" i="132"/>
  <c r="K63" i="132"/>
  <c r="T12" i="137"/>
  <c r="G86" i="139"/>
  <c r="R13" i="132"/>
  <c r="M159" i="135"/>
  <c r="K159" i="135" s="1"/>
  <c r="I159" i="135" s="1"/>
  <c r="K158" i="135"/>
  <c r="O63" i="132"/>
  <c r="M13" i="137"/>
  <c r="M68" i="140"/>
  <c r="K68" i="140" s="1"/>
  <c r="I68" i="140" s="1"/>
  <c r="K67" i="140"/>
  <c r="I67" i="140" s="1"/>
  <c r="W12" i="137"/>
  <c r="V64" i="137"/>
  <c r="J63" i="137"/>
  <c r="H86" i="139"/>
  <c r="N64" i="137"/>
  <c r="L13" i="137"/>
  <c r="K63" i="137"/>
  <c r="L64" i="137"/>
  <c r="S64" i="137"/>
  <c r="Q64" i="137"/>
  <c r="M64" i="132"/>
  <c r="M11" i="135"/>
  <c r="K11" i="135" s="1"/>
  <c r="I11" i="135" s="1"/>
  <c r="K10" i="135"/>
  <c r="I10" i="135" s="1"/>
  <c r="M135" i="135"/>
  <c r="K135" i="135" s="1"/>
  <c r="I135" i="135" s="1"/>
  <c r="K134" i="135"/>
  <c r="I134" i="135" s="1"/>
  <c r="AQ10" i="129" l="1"/>
  <c r="K100" i="140"/>
  <c r="K70" i="140"/>
  <c r="I164" i="135"/>
  <c r="I105" i="135"/>
  <c r="I48" i="164"/>
  <c r="I50" i="164"/>
  <c r="I51" i="164"/>
  <c r="I49" i="164"/>
  <c r="I99" i="164"/>
  <c r="I101" i="164"/>
  <c r="I100" i="164"/>
  <c r="I102" i="164"/>
  <c r="I99" i="159"/>
  <c r="I101" i="159"/>
  <c r="I102" i="159"/>
  <c r="I100" i="159"/>
  <c r="I48" i="159"/>
  <c r="I51" i="159"/>
  <c r="I50" i="159"/>
  <c r="I49" i="159"/>
  <c r="X66" i="137"/>
  <c r="H88" i="139" s="1"/>
  <c r="H90" i="139" s="1"/>
  <c r="X12" i="132"/>
  <c r="X63" i="137"/>
  <c r="I158" i="135"/>
  <c r="M81" i="132"/>
  <c r="V81" i="137"/>
  <c r="V82" i="137" s="1"/>
  <c r="G87" i="139"/>
  <c r="G90" i="139"/>
  <c r="G11" i="138"/>
  <c r="Q30" i="132"/>
  <c r="M81" i="137"/>
  <c r="J81" i="137"/>
  <c r="J82" i="137" s="1"/>
  <c r="O81" i="132"/>
  <c r="L81" i="132"/>
  <c r="L82" i="132" s="1"/>
  <c r="I129" i="135"/>
  <c r="K30" i="132"/>
  <c r="K31" i="132" s="1"/>
  <c r="T81" i="132"/>
  <c r="O81" i="137"/>
  <c r="O82" i="137" s="1"/>
  <c r="N30" i="137"/>
  <c r="H269" i="135"/>
  <c r="M30" i="132"/>
  <c r="P30" i="132"/>
  <c r="P31" i="132" s="1"/>
  <c r="J30" i="137"/>
  <c r="I5" i="140"/>
  <c r="I69" i="135"/>
  <c r="K160" i="140"/>
  <c r="G202" i="140" s="1"/>
  <c r="O20" i="129" s="1"/>
  <c r="O21" i="129" s="1"/>
  <c r="I158" i="140"/>
  <c r="I160" i="140" s="1"/>
  <c r="G203" i="140" s="1"/>
  <c r="I99" i="135"/>
  <c r="K138" i="140"/>
  <c r="M139" i="140"/>
  <c r="K139" i="140" s="1"/>
  <c r="I139" i="140" s="1"/>
  <c r="H203" i="140"/>
  <c r="E207" i="140"/>
  <c r="R81" i="137"/>
  <c r="V81" i="132"/>
  <c r="P81" i="137"/>
  <c r="P82" i="137" s="1"/>
  <c r="S81" i="132"/>
  <c r="S30" i="137"/>
  <c r="S31" i="137" s="1"/>
  <c r="K129" i="140"/>
  <c r="I124" i="140"/>
  <c r="I129" i="140" s="1"/>
  <c r="U30" i="132"/>
  <c r="U31" i="132" s="1"/>
  <c r="O30" i="137"/>
  <c r="R30" i="137"/>
  <c r="R31" i="137" s="1"/>
  <c r="N81" i="132"/>
  <c r="N82" i="132" s="1"/>
  <c r="K223" i="135"/>
  <c r="I223" i="135" s="1"/>
  <c r="K222" i="135"/>
  <c r="K224" i="135" s="1"/>
  <c r="BD32" i="129" s="1"/>
  <c r="BS32" i="129" s="1"/>
  <c r="O33" i="132"/>
  <c r="O34" i="132" s="1"/>
  <c r="O32" i="132"/>
  <c r="AI25" i="129"/>
  <c r="AR9" i="129"/>
  <c r="I65" i="140"/>
  <c r="I70" i="140" s="1"/>
  <c r="X12" i="137"/>
  <c r="K82" i="140"/>
  <c r="I82" i="140" s="1"/>
  <c r="M83" i="140"/>
  <c r="K83" i="140" s="1"/>
  <c r="I83" i="140" s="1"/>
  <c r="R81" i="132"/>
  <c r="R82" i="132" s="1"/>
  <c r="X63" i="132"/>
  <c r="K30" i="137"/>
  <c r="I95" i="140"/>
  <c r="I100" i="140" s="1"/>
  <c r="G88" i="133"/>
  <c r="G90" i="133" s="1"/>
  <c r="E44" i="128"/>
  <c r="E45" i="128" s="1"/>
  <c r="I81" i="137"/>
  <c r="X64" i="137"/>
  <c r="X67" i="137" s="1"/>
  <c r="H89" i="139" s="1"/>
  <c r="T30" i="137"/>
  <c r="T31" i="137" s="1"/>
  <c r="Q81" i="132"/>
  <c r="Q82" i="132" s="1"/>
  <c r="V30" i="137"/>
  <c r="V31" i="137" s="1"/>
  <c r="P30" i="137"/>
  <c r="P31" i="137" s="1"/>
  <c r="X64" i="132"/>
  <c r="X67" i="132" s="1"/>
  <c r="H89" i="133" s="1"/>
  <c r="I81" i="132"/>
  <c r="S33" i="132"/>
  <c r="S34" i="132" s="1"/>
  <c r="S32" i="132"/>
  <c r="U81" i="132"/>
  <c r="U81" i="137"/>
  <c r="U82" i="137" s="1"/>
  <c r="M6" i="135"/>
  <c r="K6" i="135" s="1"/>
  <c r="I6" i="135" s="1"/>
  <c r="K5" i="135"/>
  <c r="K42" i="140"/>
  <c r="I42" i="140" s="1"/>
  <c r="K45" i="140"/>
  <c r="I45" i="140" s="1"/>
  <c r="U30" i="137"/>
  <c r="U31" i="137" s="1"/>
  <c r="T81" i="137"/>
  <c r="T82" i="137" s="1"/>
  <c r="W30" i="132"/>
  <c r="W31" i="132" s="1"/>
  <c r="W81" i="132"/>
  <c r="W82" i="132" s="1"/>
  <c r="X66" i="132"/>
  <c r="H88" i="133" s="1"/>
  <c r="H90" i="133" s="1"/>
  <c r="V30" i="132"/>
  <c r="V31" i="132" s="1"/>
  <c r="O31" i="132"/>
  <c r="S81" i="137"/>
  <c r="K81" i="132"/>
  <c r="K82" i="132" s="1"/>
  <c r="Q81" i="137"/>
  <c r="H87" i="139"/>
  <c r="M30" i="137"/>
  <c r="L81" i="137"/>
  <c r="L30" i="137"/>
  <c r="L31" i="137" s="1"/>
  <c r="N81" i="137"/>
  <c r="R30" i="132"/>
  <c r="R31" i="132" s="1"/>
  <c r="I187" i="135"/>
  <c r="G87" i="133"/>
  <c r="G11" i="134"/>
  <c r="K140" i="140"/>
  <c r="I140" i="140" s="1"/>
  <c r="M141" i="140"/>
  <c r="K141" i="140" s="1"/>
  <c r="I141" i="140" s="1"/>
  <c r="W30" i="137"/>
  <c r="W31" i="137" s="1"/>
  <c r="N30" i="132"/>
  <c r="N31" i="132" s="1"/>
  <c r="J30" i="132"/>
  <c r="J31" i="132" s="1"/>
  <c r="K80" i="140"/>
  <c r="M81" i="140"/>
  <c r="K81" i="140" s="1"/>
  <c r="I81" i="140" s="1"/>
  <c r="S31" i="132"/>
  <c r="L30" i="132"/>
  <c r="L31" i="132" s="1"/>
  <c r="K81" i="137"/>
  <c r="I110" i="140"/>
  <c r="I115" i="140" s="1"/>
  <c r="K115" i="140"/>
  <c r="J81" i="132"/>
  <c r="K7" i="135"/>
  <c r="I7" i="135" s="1"/>
  <c r="M8" i="135"/>
  <c r="K8" i="135" s="1"/>
  <c r="I8" i="135" s="1"/>
  <c r="I30" i="137"/>
  <c r="X13" i="137"/>
  <c r="G12" i="138" s="1"/>
  <c r="I30" i="132"/>
  <c r="I31" i="132" s="1"/>
  <c r="X13" i="132"/>
  <c r="W81" i="137"/>
  <c r="P81" i="132"/>
  <c r="H87" i="133"/>
  <c r="I39" i="135"/>
  <c r="Q30" i="137"/>
  <c r="Q31" i="137" s="1"/>
  <c r="T30" i="132"/>
  <c r="K85" i="140" l="1"/>
  <c r="W84" i="137"/>
  <c r="W85" i="137" s="1"/>
  <c r="W83" i="137"/>
  <c r="W82" i="137"/>
  <c r="G13" i="138"/>
  <c r="G14" i="138" s="1"/>
  <c r="X16" i="137"/>
  <c r="G89" i="139" s="1"/>
  <c r="J33" i="132"/>
  <c r="J34" i="132" s="1"/>
  <c r="J32" i="132"/>
  <c r="W33" i="137"/>
  <c r="W34" i="137" s="1"/>
  <c r="W32" i="137"/>
  <c r="L33" i="137"/>
  <c r="L34" i="137" s="1"/>
  <c r="L32" i="137"/>
  <c r="V33" i="132"/>
  <c r="V34" i="132" s="1"/>
  <c r="V32" i="132"/>
  <c r="U33" i="137"/>
  <c r="U34" i="137" s="1"/>
  <c r="U32" i="137"/>
  <c r="I5" i="135"/>
  <c r="S38" i="132"/>
  <c r="S36" i="132"/>
  <c r="S37" i="132" s="1"/>
  <c r="P33" i="137"/>
  <c r="P34" i="137" s="1"/>
  <c r="P32" i="137"/>
  <c r="Q84" i="132"/>
  <c r="Q85" i="132" s="1"/>
  <c r="Q83" i="132"/>
  <c r="R84" i="132"/>
  <c r="R85" i="132" s="1"/>
  <c r="R83" i="132"/>
  <c r="I222" i="135"/>
  <c r="I224" i="135" s="1"/>
  <c r="BD33" i="129" s="1"/>
  <c r="BS33" i="129" s="1"/>
  <c r="R33" i="137"/>
  <c r="R34" i="137" s="1"/>
  <c r="R32" i="137"/>
  <c r="H208" i="140"/>
  <c r="T23" i="129"/>
  <c r="M84" i="132"/>
  <c r="M83" i="132"/>
  <c r="T33" i="132"/>
  <c r="T34" i="132" s="1"/>
  <c r="T32" i="132"/>
  <c r="P84" i="132"/>
  <c r="P85" i="132" s="1"/>
  <c r="P83" i="132"/>
  <c r="G12" i="134"/>
  <c r="X16" i="132"/>
  <c r="G89" i="133" s="1"/>
  <c r="I33" i="137"/>
  <c r="X30" i="137"/>
  <c r="X17" i="137" s="1"/>
  <c r="I32" i="137"/>
  <c r="J84" i="132"/>
  <c r="J83" i="132"/>
  <c r="K84" i="137"/>
  <c r="K85" i="137" s="1"/>
  <c r="K83" i="137"/>
  <c r="N84" i="137"/>
  <c r="N85" i="137" s="1"/>
  <c r="N83" i="137"/>
  <c r="L84" i="137"/>
  <c r="L85" i="137" s="1"/>
  <c r="L83" i="137"/>
  <c r="M33" i="137"/>
  <c r="M34" i="137" s="1"/>
  <c r="M32" i="137"/>
  <c r="Q84" i="137"/>
  <c r="Q85" i="137" s="1"/>
  <c r="Q83" i="137"/>
  <c r="S84" i="137"/>
  <c r="S85" i="137" s="1"/>
  <c r="S83" i="137"/>
  <c r="U84" i="132"/>
  <c r="U85" i="132" s="1"/>
  <c r="U83" i="132"/>
  <c r="X81" i="132"/>
  <c r="X68" i="132" s="1"/>
  <c r="I84" i="132"/>
  <c r="I83" i="132"/>
  <c r="I84" i="137"/>
  <c r="X81" i="137"/>
  <c r="X68" i="137" s="1"/>
  <c r="I83" i="137"/>
  <c r="K33" i="137"/>
  <c r="K34" i="137" s="1"/>
  <c r="K32" i="137"/>
  <c r="O33" i="137"/>
  <c r="O34" i="137" s="1"/>
  <c r="O32" i="137"/>
  <c r="S84" i="132"/>
  <c r="S85" i="132" s="1"/>
  <c r="S83" i="132"/>
  <c r="V84" i="132"/>
  <c r="V85" i="132" s="1"/>
  <c r="V83" i="132"/>
  <c r="R84" i="137"/>
  <c r="R85" i="137" s="1"/>
  <c r="R83" i="137"/>
  <c r="J33" i="137"/>
  <c r="J34" i="137" s="1"/>
  <c r="J32" i="137"/>
  <c r="M33" i="132"/>
  <c r="M34" i="132" s="1"/>
  <c r="M32" i="132"/>
  <c r="N33" i="137"/>
  <c r="N34" i="137" s="1"/>
  <c r="N32" i="137"/>
  <c r="T84" i="132"/>
  <c r="T85" i="132" s="1"/>
  <c r="T83" i="132"/>
  <c r="O84" i="132"/>
  <c r="O83" i="132"/>
  <c r="M84" i="137"/>
  <c r="M85" i="137" s="1"/>
  <c r="M83" i="137"/>
  <c r="Q33" i="132"/>
  <c r="Q34" i="132" s="1"/>
  <c r="Q32" i="132"/>
  <c r="M82" i="132"/>
  <c r="T31" i="132"/>
  <c r="P82" i="132"/>
  <c r="I33" i="132"/>
  <c r="X30" i="132"/>
  <c r="X17" i="132" s="1"/>
  <c r="I32" i="132"/>
  <c r="I31" i="137"/>
  <c r="J82" i="132"/>
  <c r="K82" i="137"/>
  <c r="N33" i="132"/>
  <c r="N34" i="132" s="1"/>
  <c r="N32" i="132"/>
  <c r="N82" i="137"/>
  <c r="L82" i="137"/>
  <c r="M31" i="137"/>
  <c r="Q82" i="137"/>
  <c r="S82" i="137"/>
  <c r="W33" i="132"/>
  <c r="W34" i="132" s="1"/>
  <c r="W32" i="132"/>
  <c r="T84" i="137"/>
  <c r="T85" i="137" s="1"/>
  <c r="T83" i="137"/>
  <c r="U84" i="137"/>
  <c r="U85" i="137" s="1"/>
  <c r="U83" i="137"/>
  <c r="U82" i="132"/>
  <c r="I82" i="132"/>
  <c r="V33" i="137"/>
  <c r="V34" i="137" s="1"/>
  <c r="V32" i="137"/>
  <c r="T33" i="137"/>
  <c r="T34" i="137" s="1"/>
  <c r="T32" i="137"/>
  <c r="I82" i="137"/>
  <c r="K31" i="137"/>
  <c r="O41" i="132"/>
  <c r="O42" i="132"/>
  <c r="O40" i="132"/>
  <c r="N84" i="132"/>
  <c r="N83" i="132"/>
  <c r="O31" i="137"/>
  <c r="S82" i="132"/>
  <c r="V82" i="132"/>
  <c r="R82" i="137"/>
  <c r="K143" i="140"/>
  <c r="I138" i="140"/>
  <c r="I143" i="140" s="1"/>
  <c r="J31" i="137"/>
  <c r="M31" i="132"/>
  <c r="N31" i="137"/>
  <c r="T82" i="132"/>
  <c r="O82" i="132"/>
  <c r="M82" i="137"/>
  <c r="Q31" i="132"/>
  <c r="V84" i="137"/>
  <c r="V85" i="137" s="1"/>
  <c r="V83" i="137"/>
  <c r="Q33" i="137"/>
  <c r="Q34" i="137" s="1"/>
  <c r="Q32" i="137"/>
  <c r="L33" i="132"/>
  <c r="L34" i="132" s="1"/>
  <c r="L32" i="132"/>
  <c r="I80" i="140"/>
  <c r="I85" i="140" s="1"/>
  <c r="R33" i="132"/>
  <c r="R34" i="132" s="1"/>
  <c r="R32" i="132"/>
  <c r="K84" i="132"/>
  <c r="K83" i="132"/>
  <c r="W84" i="132"/>
  <c r="W85" i="132" s="1"/>
  <c r="W83" i="132"/>
  <c r="S41" i="132"/>
  <c r="S42" i="132"/>
  <c r="S40" i="132"/>
  <c r="O44" i="128"/>
  <c r="M44" i="128"/>
  <c r="O38" i="132"/>
  <c r="O36" i="132"/>
  <c r="O37" i="132" s="1"/>
  <c r="U33" i="132"/>
  <c r="U34" i="132" s="1"/>
  <c r="U32" i="132"/>
  <c r="S33" i="137"/>
  <c r="S34" i="137" s="1"/>
  <c r="S32" i="137"/>
  <c r="P84" i="137"/>
  <c r="P85" i="137" s="1"/>
  <c r="P83" i="137"/>
  <c r="G208" i="140"/>
  <c r="O23" i="129"/>
  <c r="O28" i="129" s="1"/>
  <c r="P33" i="132"/>
  <c r="P34" i="132" s="1"/>
  <c r="P32" i="132"/>
  <c r="O84" i="137"/>
  <c r="O85" i="137" s="1"/>
  <c r="O83" i="137"/>
  <c r="K33" i="132"/>
  <c r="K34" i="132" s="1"/>
  <c r="K32" i="132"/>
  <c r="L84" i="132"/>
  <c r="L83" i="132"/>
  <c r="J84" i="137"/>
  <c r="J85" i="137" s="1"/>
  <c r="J83" i="137"/>
  <c r="K43" i="140"/>
  <c r="M10" i="140"/>
  <c r="K210" i="135" l="1"/>
  <c r="K211" i="135"/>
  <c r="I211" i="135" s="1"/>
  <c r="X31" i="132"/>
  <c r="G263" i="135"/>
  <c r="O7" i="129"/>
  <c r="G264" i="135"/>
  <c r="G269" i="135" s="1"/>
  <c r="O10" i="129"/>
  <c r="X82" i="137"/>
  <c r="K44" i="140"/>
  <c r="I44" i="140" s="1"/>
  <c r="O43" i="140"/>
  <c r="I43" i="140" s="1"/>
  <c r="K120" i="135"/>
  <c r="I120" i="135" s="1"/>
  <c r="M107" i="135"/>
  <c r="K107" i="135" s="1"/>
  <c r="I107" i="135" s="1"/>
  <c r="M106" i="135"/>
  <c r="K106" i="135" s="1"/>
  <c r="K121" i="135"/>
  <c r="I121" i="135" s="1"/>
  <c r="L85" i="132"/>
  <c r="O89" i="137"/>
  <c r="O87" i="137"/>
  <c r="O88" i="137" s="1"/>
  <c r="P38" i="132"/>
  <c r="P36" i="132"/>
  <c r="P37" i="132" s="1"/>
  <c r="P92" i="137"/>
  <c r="P93" i="137"/>
  <c r="P91" i="137"/>
  <c r="U42" i="132"/>
  <c r="U41" i="132"/>
  <c r="W87" i="132"/>
  <c r="W88" i="132" s="1"/>
  <c r="W89" i="132"/>
  <c r="Q42" i="137"/>
  <c r="Q41" i="137"/>
  <c r="Q40" i="137"/>
  <c r="O45" i="132"/>
  <c r="O44" i="132"/>
  <c r="O46" i="132" s="1"/>
  <c r="T41" i="137"/>
  <c r="T42" i="137"/>
  <c r="X82" i="132"/>
  <c r="T92" i="137"/>
  <c r="T93" i="137"/>
  <c r="X33" i="132"/>
  <c r="I34" i="132"/>
  <c r="Q42" i="132"/>
  <c r="Q41" i="132"/>
  <c r="Q40" i="132"/>
  <c r="O93" i="132"/>
  <c r="O92" i="132"/>
  <c r="O91" i="132"/>
  <c r="N42" i="137"/>
  <c r="N41" i="137"/>
  <c r="N40" i="137"/>
  <c r="J42" i="137"/>
  <c r="J41" i="137"/>
  <c r="J40" i="137"/>
  <c r="R93" i="137"/>
  <c r="R92" i="137"/>
  <c r="R91" i="137"/>
  <c r="S93" i="132"/>
  <c r="S92" i="132"/>
  <c r="S91" i="132"/>
  <c r="K41" i="137"/>
  <c r="K42" i="137"/>
  <c r="K40" i="137"/>
  <c r="X84" i="137"/>
  <c r="I85" i="137"/>
  <c r="U92" i="132"/>
  <c r="U93" i="132"/>
  <c r="Q93" i="137"/>
  <c r="Q92" i="137"/>
  <c r="Q91" i="137"/>
  <c r="L92" i="137"/>
  <c r="L93" i="137"/>
  <c r="L91" i="137"/>
  <c r="J93" i="132"/>
  <c r="J92" i="132"/>
  <c r="J91" i="132"/>
  <c r="X33" i="137"/>
  <c r="I34" i="137"/>
  <c r="P87" i="132"/>
  <c r="P88" i="132" s="1"/>
  <c r="P89" i="132"/>
  <c r="K150" i="135"/>
  <c r="I150" i="135" s="1"/>
  <c r="M137" i="135"/>
  <c r="K137" i="135" s="1"/>
  <c r="I137" i="135" s="1"/>
  <c r="K151" i="135"/>
  <c r="I151" i="135" s="1"/>
  <c r="M136" i="135"/>
  <c r="K136" i="135" s="1"/>
  <c r="M85" i="132"/>
  <c r="Q89" i="132"/>
  <c r="Q87" i="132"/>
  <c r="Q88" i="132" s="1"/>
  <c r="V38" i="132"/>
  <c r="V36" i="132"/>
  <c r="V37" i="132" s="1"/>
  <c r="W38" i="137"/>
  <c r="W36" i="137"/>
  <c r="W37" i="137" s="1"/>
  <c r="M13" i="140"/>
  <c r="K13" i="140" s="1"/>
  <c r="G15" i="138"/>
  <c r="G16" i="138" s="1"/>
  <c r="O92" i="137"/>
  <c r="O93" i="137"/>
  <c r="O91" i="137"/>
  <c r="W93" i="132"/>
  <c r="W92" i="132"/>
  <c r="J93" i="137"/>
  <c r="J92" i="137"/>
  <c r="J91" i="137"/>
  <c r="K41" i="132"/>
  <c r="K42" i="132"/>
  <c r="K40" i="132"/>
  <c r="P89" i="137"/>
  <c r="P87" i="137"/>
  <c r="P88" i="137" s="1"/>
  <c r="U36" i="132"/>
  <c r="U37" i="132" s="1"/>
  <c r="U38" i="132"/>
  <c r="S45" i="132"/>
  <c r="S44" i="132"/>
  <c r="S46" i="132" s="1"/>
  <c r="K93" i="132"/>
  <c r="K92" i="132"/>
  <c r="K91" i="132"/>
  <c r="R42" i="132"/>
  <c r="R41" i="132"/>
  <c r="R40" i="132"/>
  <c r="L42" i="132"/>
  <c r="L41" i="132"/>
  <c r="L40" i="132"/>
  <c r="Q36" i="137"/>
  <c r="Q37" i="137" s="1"/>
  <c r="Q38" i="137"/>
  <c r="N93" i="132"/>
  <c r="N92" i="132"/>
  <c r="N91" i="132"/>
  <c r="I210" i="135"/>
  <c r="M199" i="135"/>
  <c r="M196" i="135"/>
  <c r="O43" i="132"/>
  <c r="T38" i="137"/>
  <c r="T36" i="137"/>
  <c r="T37" i="137" s="1"/>
  <c r="T89" i="137"/>
  <c r="T87" i="137"/>
  <c r="T88" i="137" s="1"/>
  <c r="N42" i="132"/>
  <c r="N41" i="132"/>
  <c r="N40" i="132"/>
  <c r="X31" i="137"/>
  <c r="Q36" i="132"/>
  <c r="Q37" i="132" s="1"/>
  <c r="Q38" i="132"/>
  <c r="K208" i="135"/>
  <c r="I208" i="135" s="1"/>
  <c r="K209" i="135"/>
  <c r="I209" i="135" s="1"/>
  <c r="M194" i="135"/>
  <c r="K194" i="135" s="1"/>
  <c r="M195" i="135"/>
  <c r="K195" i="135" s="1"/>
  <c r="I195" i="135" s="1"/>
  <c r="O85" i="132"/>
  <c r="N36" i="137"/>
  <c r="N37" i="137" s="1"/>
  <c r="N38" i="137"/>
  <c r="J36" i="137"/>
  <c r="J37" i="137" s="1"/>
  <c r="J38" i="137"/>
  <c r="R87" i="137"/>
  <c r="R88" i="137" s="1"/>
  <c r="R89" i="137"/>
  <c r="S87" i="132"/>
  <c r="S88" i="132" s="1"/>
  <c r="S89" i="132"/>
  <c r="K36" i="137"/>
  <c r="K37" i="137" s="1"/>
  <c r="K38" i="137"/>
  <c r="I92" i="132"/>
  <c r="X83" i="132"/>
  <c r="I93" i="132"/>
  <c r="I91" i="132"/>
  <c r="U89" i="132"/>
  <c r="U87" i="132"/>
  <c r="U88" i="132" s="1"/>
  <c r="Q87" i="137"/>
  <c r="Q88" i="137" s="1"/>
  <c r="Q89" i="137"/>
  <c r="L89" i="137"/>
  <c r="L87" i="137"/>
  <c r="L88" i="137" s="1"/>
  <c r="M47" i="135"/>
  <c r="K47" i="135" s="1"/>
  <c r="I47" i="135" s="1"/>
  <c r="K60" i="135"/>
  <c r="I60" i="135" s="1"/>
  <c r="K61" i="135"/>
  <c r="I61" i="135" s="1"/>
  <c r="M46" i="135"/>
  <c r="K46" i="135" s="1"/>
  <c r="J85" i="132"/>
  <c r="T42" i="132"/>
  <c r="T41" i="132"/>
  <c r="T27" i="129"/>
  <c r="T28" i="129"/>
  <c r="R42" i="137"/>
  <c r="R41" i="137"/>
  <c r="R40" i="137"/>
  <c r="R93" i="132"/>
  <c r="R92" i="132"/>
  <c r="R91" i="132"/>
  <c r="P41" i="137"/>
  <c r="P42" i="137"/>
  <c r="P40" i="137"/>
  <c r="U42" i="137"/>
  <c r="U41" i="137"/>
  <c r="L41" i="137"/>
  <c r="L42" i="137"/>
  <c r="L40" i="137"/>
  <c r="J42" i="132"/>
  <c r="J41" i="132"/>
  <c r="J40" i="132"/>
  <c r="M12" i="140"/>
  <c r="K12" i="140" s="1"/>
  <c r="I12" i="140" s="1"/>
  <c r="K10" i="140"/>
  <c r="I10" i="140" s="1"/>
  <c r="M11" i="140"/>
  <c r="K11" i="140" s="1"/>
  <c r="I11" i="140" s="1"/>
  <c r="P42" i="132"/>
  <c r="P41" i="132"/>
  <c r="P40" i="132"/>
  <c r="J87" i="137"/>
  <c r="J88" i="137" s="1"/>
  <c r="J89" i="137"/>
  <c r="K38" i="132"/>
  <c r="K36" i="132"/>
  <c r="K37" i="132" s="1"/>
  <c r="O27" i="129"/>
  <c r="S41" i="137"/>
  <c r="S42" i="137"/>
  <c r="S40" i="137"/>
  <c r="S43" i="132"/>
  <c r="K90" i="135"/>
  <c r="I90" i="135" s="1"/>
  <c r="K91" i="135"/>
  <c r="I91" i="135" s="1"/>
  <c r="M76" i="135"/>
  <c r="K76" i="135" s="1"/>
  <c r="M77" i="135"/>
  <c r="K77" i="135" s="1"/>
  <c r="I77" i="135" s="1"/>
  <c r="K85" i="132"/>
  <c r="R38" i="132"/>
  <c r="R36" i="132"/>
  <c r="R37" i="132" s="1"/>
  <c r="L38" i="132"/>
  <c r="L36" i="132"/>
  <c r="L37" i="132" s="1"/>
  <c r="V93" i="137"/>
  <c r="V92" i="137"/>
  <c r="K179" i="135"/>
  <c r="I179" i="135" s="1"/>
  <c r="M166" i="135"/>
  <c r="K166" i="135" s="1"/>
  <c r="I166" i="135" s="1"/>
  <c r="M165" i="135"/>
  <c r="K165" i="135" s="1"/>
  <c r="K180" i="135"/>
  <c r="I180" i="135" s="1"/>
  <c r="N85" i="132"/>
  <c r="V42" i="137"/>
  <c r="V41" i="137"/>
  <c r="U93" i="137"/>
  <c r="U92" i="137"/>
  <c r="W41" i="132"/>
  <c r="W42" i="132"/>
  <c r="N38" i="132"/>
  <c r="N36" i="132"/>
  <c r="N37" i="132" s="1"/>
  <c r="I42" i="132"/>
  <c r="X32" i="132"/>
  <c r="I41" i="132"/>
  <c r="I40" i="132"/>
  <c r="M93" i="137"/>
  <c r="M92" i="137"/>
  <c r="M91" i="137"/>
  <c r="T92" i="132"/>
  <c r="T93" i="132"/>
  <c r="M42" i="132"/>
  <c r="M41" i="132"/>
  <c r="M40" i="132"/>
  <c r="V93" i="132"/>
  <c r="V92" i="132"/>
  <c r="O41" i="137"/>
  <c r="O42" i="137"/>
  <c r="O40" i="137"/>
  <c r="I93" i="137"/>
  <c r="I92" i="137"/>
  <c r="X83" i="137"/>
  <c r="I91" i="137"/>
  <c r="M13" i="135"/>
  <c r="K13" i="135" s="1"/>
  <c r="I13" i="135" s="1"/>
  <c r="K28" i="135"/>
  <c r="I28" i="135" s="1"/>
  <c r="K29" i="135"/>
  <c r="I29" i="135" s="1"/>
  <c r="M12" i="135"/>
  <c r="K12" i="135" s="1"/>
  <c r="X84" i="132"/>
  <c r="I85" i="132"/>
  <c r="S92" i="137"/>
  <c r="S93" i="137"/>
  <c r="S91" i="137"/>
  <c r="M42" i="137"/>
  <c r="M41" i="137"/>
  <c r="M40" i="137"/>
  <c r="N93" i="137"/>
  <c r="N92" i="137"/>
  <c r="N91" i="137"/>
  <c r="K92" i="137"/>
  <c r="K93" i="137"/>
  <c r="K91" i="137"/>
  <c r="X32" i="137"/>
  <c r="I42" i="137"/>
  <c r="I41" i="137"/>
  <c r="I40" i="137"/>
  <c r="G13" i="134"/>
  <c r="G14" i="134" s="1"/>
  <c r="E47" i="128"/>
  <c r="E48" i="128" s="1"/>
  <c r="T38" i="132"/>
  <c r="T36" i="132"/>
  <c r="T37" i="132" s="1"/>
  <c r="R36" i="137"/>
  <c r="R37" i="137" s="1"/>
  <c r="R38" i="137"/>
  <c r="R87" i="132"/>
  <c r="R88" i="132" s="1"/>
  <c r="R89" i="132"/>
  <c r="P38" i="137"/>
  <c r="P36" i="137"/>
  <c r="P37" i="137" s="1"/>
  <c r="U36" i="137"/>
  <c r="U37" i="137" s="1"/>
  <c r="U38" i="137"/>
  <c r="L38" i="137"/>
  <c r="L36" i="137"/>
  <c r="L37" i="137" s="1"/>
  <c r="J38" i="132"/>
  <c r="J36" i="132"/>
  <c r="J37" i="132" s="1"/>
  <c r="W92" i="137"/>
  <c r="W93" i="137"/>
  <c r="L92" i="132"/>
  <c r="L93" i="132"/>
  <c r="L91" i="132"/>
  <c r="S36" i="137"/>
  <c r="S37" i="137" s="1"/>
  <c r="S38" i="137"/>
  <c r="V87" i="137"/>
  <c r="V88" i="137" s="1"/>
  <c r="V89" i="137"/>
  <c r="V36" i="137"/>
  <c r="V37" i="137" s="1"/>
  <c r="V38" i="137"/>
  <c r="U87" i="137"/>
  <c r="U88" i="137" s="1"/>
  <c r="U89" i="137"/>
  <c r="W38" i="132"/>
  <c r="W36" i="132"/>
  <c r="W37" i="132" s="1"/>
  <c r="M87" i="137"/>
  <c r="M88" i="137" s="1"/>
  <c r="M89" i="137"/>
  <c r="T89" i="132"/>
  <c r="T87" i="132"/>
  <c r="T88" i="132" s="1"/>
  <c r="M36" i="132"/>
  <c r="M37" i="132" s="1"/>
  <c r="M38" i="132"/>
  <c r="V87" i="132"/>
  <c r="V88" i="132" s="1"/>
  <c r="V89" i="132"/>
  <c r="O38" i="137"/>
  <c r="O36" i="137"/>
  <c r="O37" i="137" s="1"/>
  <c r="S89" i="137"/>
  <c r="S87" i="137"/>
  <c r="S88" i="137" s="1"/>
  <c r="M36" i="137"/>
  <c r="M37" i="137" s="1"/>
  <c r="M38" i="137"/>
  <c r="N87" i="137"/>
  <c r="N88" i="137" s="1"/>
  <c r="N89" i="137"/>
  <c r="K89" i="137"/>
  <c r="K87" i="137"/>
  <c r="K88" i="137" s="1"/>
  <c r="P92" i="132"/>
  <c r="P93" i="132"/>
  <c r="P91" i="132"/>
  <c r="M92" i="132"/>
  <c r="M93" i="132"/>
  <c r="M91" i="132"/>
  <c r="Q92" i="132"/>
  <c r="Q93" i="132"/>
  <c r="Q91" i="132"/>
  <c r="V42" i="132"/>
  <c r="V41" i="132"/>
  <c r="W41" i="137"/>
  <c r="W42" i="137"/>
  <c r="W89" i="137"/>
  <c r="W87" i="137"/>
  <c r="W88" i="137" s="1"/>
  <c r="M14" i="140" l="1"/>
  <c r="K14" i="140" s="1"/>
  <c r="O47" i="132"/>
  <c r="M33" i="140"/>
  <c r="K33" i="140" s="1"/>
  <c r="M32" i="140"/>
  <c r="K32" i="140" s="1"/>
  <c r="M7" i="140"/>
  <c r="I31" i="140"/>
  <c r="I212" i="135"/>
  <c r="CM27" i="129" s="1"/>
  <c r="K182" i="135"/>
  <c r="K181" i="135"/>
  <c r="K152" i="135"/>
  <c r="K153" i="135"/>
  <c r="I153" i="135" s="1"/>
  <c r="K30" i="135"/>
  <c r="I30" i="135" s="1"/>
  <c r="K32" i="135"/>
  <c r="I32" i="135" s="1"/>
  <c r="K63" i="135"/>
  <c r="K62" i="135"/>
  <c r="I62" i="135" s="1"/>
  <c r="K123" i="135"/>
  <c r="K122" i="135"/>
  <c r="I122" i="135" s="1"/>
  <c r="K92" i="135"/>
  <c r="K93" i="135"/>
  <c r="I76" i="135"/>
  <c r="I165" i="135"/>
  <c r="I46" i="135"/>
  <c r="I136" i="135"/>
  <c r="I194" i="135"/>
  <c r="I106" i="135"/>
  <c r="S47" i="132"/>
  <c r="G15" i="134"/>
  <c r="G16" i="134" s="1"/>
  <c r="K41" i="140"/>
  <c r="I41" i="140" s="1"/>
  <c r="G20" i="138"/>
  <c r="G21" i="138" s="1"/>
  <c r="X40" i="137"/>
  <c r="M43" i="137"/>
  <c r="S94" i="137"/>
  <c r="X91" i="137"/>
  <c r="O44" i="137"/>
  <c r="O46" i="137" s="1"/>
  <c r="O45" i="137"/>
  <c r="T94" i="132"/>
  <c r="W45" i="132"/>
  <c r="W44" i="132"/>
  <c r="W46" i="132" s="1"/>
  <c r="V43" i="137"/>
  <c r="V95" i="137"/>
  <c r="V96" i="137"/>
  <c r="J44" i="132"/>
  <c r="J46" i="132" s="1"/>
  <c r="J47" i="132" s="1"/>
  <c r="J45" i="132"/>
  <c r="U43" i="137"/>
  <c r="P43" i="137"/>
  <c r="I96" i="132"/>
  <c r="X93" i="132"/>
  <c r="I95" i="132"/>
  <c r="N94" i="132"/>
  <c r="L45" i="132"/>
  <c r="L44" i="132"/>
  <c r="W95" i="132"/>
  <c r="W96" i="132"/>
  <c r="I36" i="137"/>
  <c r="I38" i="137"/>
  <c r="X34" i="137"/>
  <c r="J94" i="132"/>
  <c r="Q94" i="137"/>
  <c r="I87" i="137"/>
  <c r="I89" i="137"/>
  <c r="X85" i="137"/>
  <c r="K43" i="137"/>
  <c r="J43" i="137"/>
  <c r="N44" i="137"/>
  <c r="N46" i="137" s="1"/>
  <c r="N45" i="137"/>
  <c r="G18" i="134"/>
  <c r="G17" i="134"/>
  <c r="X18" i="132"/>
  <c r="U43" i="132"/>
  <c r="P94" i="137"/>
  <c r="Q94" i="132"/>
  <c r="L94" i="132"/>
  <c r="V44" i="132"/>
  <c r="V46" i="132" s="1"/>
  <c r="V45" i="132"/>
  <c r="W96" i="137"/>
  <c r="W95" i="137"/>
  <c r="N94" i="137"/>
  <c r="M45" i="137"/>
  <c r="M44" i="137"/>
  <c r="M46" i="137" s="1"/>
  <c r="I89" i="132"/>
  <c r="X85" i="132"/>
  <c r="I87" i="132"/>
  <c r="X92" i="137"/>
  <c r="I94" i="137"/>
  <c r="O43" i="137"/>
  <c r="I152" i="135"/>
  <c r="M141" i="135"/>
  <c r="M138" i="135"/>
  <c r="M43" i="132"/>
  <c r="M19" i="135"/>
  <c r="M14" i="135"/>
  <c r="X41" i="132"/>
  <c r="I43" i="132"/>
  <c r="W43" i="132"/>
  <c r="V44" i="137"/>
  <c r="V46" i="137" s="1"/>
  <c r="V45" i="137"/>
  <c r="K87" i="132"/>
  <c r="K88" i="132" s="1"/>
  <c r="K89" i="132"/>
  <c r="P43" i="132"/>
  <c r="U45" i="137"/>
  <c r="U44" i="137"/>
  <c r="U46" i="137" s="1"/>
  <c r="R43" i="137"/>
  <c r="T43" i="132"/>
  <c r="X91" i="132"/>
  <c r="M201" i="135"/>
  <c r="K201" i="135" s="1"/>
  <c r="I201" i="135" s="1"/>
  <c r="M200" i="135"/>
  <c r="K200" i="135" s="1"/>
  <c r="I200" i="135" s="1"/>
  <c r="K199" i="135"/>
  <c r="I199" i="135" s="1"/>
  <c r="N96" i="132"/>
  <c r="N95" i="132"/>
  <c r="N97" i="132" s="1"/>
  <c r="K94" i="132"/>
  <c r="J94" i="137"/>
  <c r="I14" i="140"/>
  <c r="I13" i="140"/>
  <c r="O14" i="129"/>
  <c r="G18" i="138"/>
  <c r="G17" i="138"/>
  <c r="X18" i="137"/>
  <c r="J96" i="132"/>
  <c r="J95" i="132"/>
  <c r="J97" i="132" s="1"/>
  <c r="L96" i="137"/>
  <c r="L95" i="137"/>
  <c r="L97" i="137" s="1"/>
  <c r="Q96" i="137"/>
  <c r="Q95" i="137"/>
  <c r="Q97" i="137" s="1"/>
  <c r="M248" i="140"/>
  <c r="K248" i="140" s="1"/>
  <c r="I248" i="140" s="1"/>
  <c r="M256" i="140"/>
  <c r="K256" i="140" s="1"/>
  <c r="I256" i="140" s="1"/>
  <c r="M247" i="140"/>
  <c r="K247" i="140" s="1"/>
  <c r="M255" i="140"/>
  <c r="K255" i="140" s="1"/>
  <c r="X69" i="137"/>
  <c r="R94" i="137"/>
  <c r="J44" i="137"/>
  <c r="J46" i="137" s="1"/>
  <c r="J45" i="137"/>
  <c r="Q43" i="132"/>
  <c r="T45" i="137"/>
  <c r="T44" i="137"/>
  <c r="T46" i="137" s="1"/>
  <c r="U45" i="132"/>
  <c r="U44" i="132"/>
  <c r="U46" i="132" s="1"/>
  <c r="L89" i="132"/>
  <c r="L87" i="132"/>
  <c r="L88" i="132" s="1"/>
  <c r="V43" i="132"/>
  <c r="M94" i="132"/>
  <c r="W44" i="137"/>
  <c r="W45" i="137"/>
  <c r="P95" i="132"/>
  <c r="P97" i="132" s="1"/>
  <c r="P96" i="132"/>
  <c r="W97" i="137"/>
  <c r="W98" i="137" s="1"/>
  <c r="W94" i="137"/>
  <c r="X41" i="137"/>
  <c r="I43" i="137"/>
  <c r="K96" i="137"/>
  <c r="K95" i="137"/>
  <c r="K97" i="137" s="1"/>
  <c r="N95" i="137"/>
  <c r="N97" i="137" s="1"/>
  <c r="N96" i="137"/>
  <c r="X69" i="132"/>
  <c r="I96" i="137"/>
  <c r="I95" i="137"/>
  <c r="X93" i="137"/>
  <c r="V94" i="132"/>
  <c r="M45" i="132"/>
  <c r="M44" i="132"/>
  <c r="M46" i="132" s="1"/>
  <c r="M94" i="137"/>
  <c r="G20" i="134"/>
  <c r="AA88" i="128"/>
  <c r="AD87" i="128"/>
  <c r="X40" i="132"/>
  <c r="U94" i="137"/>
  <c r="N87" i="132"/>
  <c r="N88" i="132" s="1"/>
  <c r="N89" i="132"/>
  <c r="S44" i="137"/>
  <c r="S46" i="137" s="1"/>
  <c r="S45" i="137"/>
  <c r="P45" i="132"/>
  <c r="P44" i="132"/>
  <c r="P46" i="132" s="1"/>
  <c r="L45" i="137"/>
  <c r="L44" i="137"/>
  <c r="L46" i="137" s="1"/>
  <c r="R94" i="132"/>
  <c r="R44" i="137"/>
  <c r="R46" i="137" s="1"/>
  <c r="R45" i="137"/>
  <c r="T45" i="132"/>
  <c r="T44" i="132"/>
  <c r="T46" i="132" s="1"/>
  <c r="X92" i="132"/>
  <c r="I97" i="132"/>
  <c r="I98" i="132" s="1"/>
  <c r="I94" i="132"/>
  <c r="I181" i="135"/>
  <c r="M170" i="135"/>
  <c r="I182" i="135"/>
  <c r="M167" i="135"/>
  <c r="N43" i="132"/>
  <c r="R43" i="132"/>
  <c r="K95" i="132"/>
  <c r="K97" i="132" s="1"/>
  <c r="K96" i="132"/>
  <c r="K45" i="132"/>
  <c r="K44" i="132"/>
  <c r="J95" i="137"/>
  <c r="J97" i="137" s="1"/>
  <c r="J96" i="137"/>
  <c r="O96" i="137"/>
  <c r="O95" i="137"/>
  <c r="L94" i="137"/>
  <c r="U96" i="132"/>
  <c r="U95" i="132"/>
  <c r="U97" i="132" s="1"/>
  <c r="S94" i="132"/>
  <c r="R95" i="137"/>
  <c r="R97" i="137" s="1"/>
  <c r="R96" i="137"/>
  <c r="O94" i="132"/>
  <c r="Q45" i="132"/>
  <c r="Q44" i="132"/>
  <c r="Q46" i="132" s="1"/>
  <c r="T96" i="137"/>
  <c r="T95" i="137"/>
  <c r="T97" i="137" s="1"/>
  <c r="T43" i="137"/>
  <c r="Q43" i="137"/>
  <c r="W46" i="137"/>
  <c r="W47" i="137" s="1"/>
  <c r="W43" i="137"/>
  <c r="Q96" i="132"/>
  <c r="Q95" i="132"/>
  <c r="Q97" i="132" s="1"/>
  <c r="M96" i="132"/>
  <c r="M95" i="132"/>
  <c r="M97" i="132" s="1"/>
  <c r="P94" i="132"/>
  <c r="L95" i="132"/>
  <c r="L97" i="132" s="1"/>
  <c r="L96" i="132"/>
  <c r="O47" i="128"/>
  <c r="M47" i="128"/>
  <c r="I45" i="137"/>
  <c r="I44" i="137"/>
  <c r="X42" i="137"/>
  <c r="K94" i="137"/>
  <c r="S96" i="137"/>
  <c r="S95" i="137"/>
  <c r="S97" i="137" s="1"/>
  <c r="I12" i="135"/>
  <c r="V96" i="132"/>
  <c r="V95" i="132"/>
  <c r="V97" i="132" s="1"/>
  <c r="T95" i="132"/>
  <c r="T97" i="132" s="1"/>
  <c r="T96" i="132"/>
  <c r="M96" i="137"/>
  <c r="M95" i="137"/>
  <c r="M97" i="137" s="1"/>
  <c r="I45" i="132"/>
  <c r="I44" i="132"/>
  <c r="X42" i="132"/>
  <c r="U96" i="137"/>
  <c r="U95" i="137"/>
  <c r="U97" i="137" s="1"/>
  <c r="V97" i="137"/>
  <c r="V98" i="137" s="1"/>
  <c r="V94" i="137"/>
  <c r="S43" i="137"/>
  <c r="M51" i="135"/>
  <c r="I63" i="135"/>
  <c r="M48" i="135"/>
  <c r="J43" i="132"/>
  <c r="L43" i="137"/>
  <c r="P45" i="137"/>
  <c r="P44" i="137"/>
  <c r="P46" i="137" s="1"/>
  <c r="R96" i="132"/>
  <c r="R95" i="132"/>
  <c r="R97" i="132" s="1"/>
  <c r="J87" i="132"/>
  <c r="J88" i="132" s="1"/>
  <c r="J89" i="132"/>
  <c r="O87" i="132"/>
  <c r="O88" i="132" s="1"/>
  <c r="O89" i="132"/>
  <c r="N44" i="132"/>
  <c r="N46" i="132" s="1"/>
  <c r="N45" i="132"/>
  <c r="M197" i="135"/>
  <c r="K197" i="135" s="1"/>
  <c r="I197" i="135" s="1"/>
  <c r="K196" i="135"/>
  <c r="I196" i="135" s="1"/>
  <c r="M198" i="135"/>
  <c r="K198" i="135" s="1"/>
  <c r="I198" i="135" s="1"/>
  <c r="I123" i="135"/>
  <c r="M108" i="135"/>
  <c r="M111" i="135"/>
  <c r="L46" i="132"/>
  <c r="L47" i="132" s="1"/>
  <c r="L43" i="132"/>
  <c r="R44" i="132"/>
  <c r="R46" i="132" s="1"/>
  <c r="R45" i="132"/>
  <c r="I93" i="135"/>
  <c r="M78" i="135"/>
  <c r="M81" i="135"/>
  <c r="I92" i="135"/>
  <c r="K46" i="132"/>
  <c r="K47" i="132" s="1"/>
  <c r="K43" i="132"/>
  <c r="W97" i="132"/>
  <c r="W98" i="132" s="1"/>
  <c r="W94" i="132"/>
  <c r="O97" i="137"/>
  <c r="O98" i="137" s="1"/>
  <c r="O94" i="137"/>
  <c r="M89" i="132"/>
  <c r="M87" i="132"/>
  <c r="M88" i="132" s="1"/>
  <c r="U94" i="132"/>
  <c r="K44" i="137"/>
  <c r="K46" i="137" s="1"/>
  <c r="K45" i="137"/>
  <c r="S95" i="132"/>
  <c r="S97" i="132" s="1"/>
  <c r="S96" i="132"/>
  <c r="N43" i="137"/>
  <c r="O95" i="132"/>
  <c r="O97" i="132" s="1"/>
  <c r="O96" i="132"/>
  <c r="I36" i="132"/>
  <c r="X34" i="132"/>
  <c r="I38" i="132"/>
  <c r="T94" i="137"/>
  <c r="Q45" i="137"/>
  <c r="Q44" i="137"/>
  <c r="Q46" i="137" s="1"/>
  <c r="P96" i="137"/>
  <c r="P95" i="137"/>
  <c r="P97" i="137" s="1"/>
  <c r="I32" i="140" l="1"/>
  <c r="I33" i="140"/>
  <c r="N47" i="137"/>
  <c r="M16" i="140"/>
  <c r="M15" i="140"/>
  <c r="J47" i="137"/>
  <c r="I37" i="167"/>
  <c r="F198" i="167" s="1"/>
  <c r="W47" i="132"/>
  <c r="P98" i="132"/>
  <c r="T98" i="137"/>
  <c r="U98" i="132"/>
  <c r="T47" i="137"/>
  <c r="T98" i="132"/>
  <c r="V47" i="132"/>
  <c r="U47" i="137"/>
  <c r="I64" i="135"/>
  <c r="BN27" i="129" s="1"/>
  <c r="I154" i="135"/>
  <c r="CC27" i="129" s="1"/>
  <c r="I124" i="135"/>
  <c r="BX27" i="129" s="1"/>
  <c r="I183" i="135"/>
  <c r="CH27" i="129" s="1"/>
  <c r="I94" i="135"/>
  <c r="BS27" i="129" s="1"/>
  <c r="Q98" i="132"/>
  <c r="Q47" i="137"/>
  <c r="I202" i="135"/>
  <c r="CM26" i="129" s="1"/>
  <c r="K202" i="135"/>
  <c r="CM25" i="129" s="1"/>
  <c r="N47" i="132"/>
  <c r="K46" i="140"/>
  <c r="I46" i="140" s="1"/>
  <c r="M17" i="140"/>
  <c r="K17" i="140" s="1"/>
  <c r="I17" i="140" s="1"/>
  <c r="K47" i="140"/>
  <c r="I47" i="140" s="1"/>
  <c r="S47" i="137"/>
  <c r="K98" i="137"/>
  <c r="P47" i="137"/>
  <c r="O47" i="137"/>
  <c r="S98" i="132"/>
  <c r="P47" i="132"/>
  <c r="L47" i="137"/>
  <c r="L98" i="137"/>
  <c r="M47" i="132"/>
  <c r="R47" i="132"/>
  <c r="R98" i="137"/>
  <c r="Q98" i="137"/>
  <c r="L98" i="132"/>
  <c r="J98" i="132"/>
  <c r="J98" i="137"/>
  <c r="K98" i="132"/>
  <c r="K47" i="137"/>
  <c r="O98" i="132"/>
  <c r="P98" i="137"/>
  <c r="M98" i="137"/>
  <c r="V98" i="132"/>
  <c r="Q47" i="132"/>
  <c r="N98" i="132"/>
  <c r="M47" i="137"/>
  <c r="T47" i="132"/>
  <c r="U47" i="132"/>
  <c r="V47" i="137"/>
  <c r="R98" i="132"/>
  <c r="U98" i="137"/>
  <c r="S98" i="137"/>
  <c r="M98" i="132"/>
  <c r="R47" i="137"/>
  <c r="N98" i="137"/>
  <c r="X48" i="132"/>
  <c r="W49" i="132" s="1"/>
  <c r="M109" i="135"/>
  <c r="K109" i="135" s="1"/>
  <c r="I109" i="135" s="1"/>
  <c r="K108" i="135"/>
  <c r="M110" i="135"/>
  <c r="K110" i="135" s="1"/>
  <c r="X44" i="132"/>
  <c r="X44" i="137"/>
  <c r="J33" i="129" s="1"/>
  <c r="X43" i="137"/>
  <c r="K257" i="140"/>
  <c r="I255" i="140"/>
  <c r="I257" i="140" s="1"/>
  <c r="X99" i="132"/>
  <c r="W102" i="132" s="1"/>
  <c r="I88" i="137"/>
  <c r="X88" i="137" s="1"/>
  <c r="X87" i="137"/>
  <c r="X96" i="132"/>
  <c r="K7" i="140"/>
  <c r="M8" i="140"/>
  <c r="K8" i="140" s="1"/>
  <c r="I8" i="140" s="1"/>
  <c r="X38" i="132"/>
  <c r="I37" i="132"/>
  <c r="X37" i="132" s="1"/>
  <c r="X36" i="132"/>
  <c r="M49" i="135"/>
  <c r="K49" i="135" s="1"/>
  <c r="I49" i="135" s="1"/>
  <c r="K48" i="135"/>
  <c r="M50" i="135"/>
  <c r="K50" i="135" s="1"/>
  <c r="I50" i="135" s="1"/>
  <c r="X45" i="132"/>
  <c r="X45" i="137"/>
  <c r="M172" i="135"/>
  <c r="K172" i="135" s="1"/>
  <c r="I172" i="135" s="1"/>
  <c r="M171" i="135"/>
  <c r="K171" i="135" s="1"/>
  <c r="I171" i="135" s="1"/>
  <c r="K170" i="135"/>
  <c r="I170" i="135" s="1"/>
  <c r="X97" i="132"/>
  <c r="X95" i="137"/>
  <c r="I247" i="140"/>
  <c r="I249" i="140" s="1"/>
  <c r="K249" i="140"/>
  <c r="X43" i="132"/>
  <c r="M15" i="135"/>
  <c r="K15" i="135" s="1"/>
  <c r="I15" i="135" s="1"/>
  <c r="K14" i="135"/>
  <c r="M16" i="135"/>
  <c r="K16" i="135" s="1"/>
  <c r="I16" i="135" s="1"/>
  <c r="M143" i="135"/>
  <c r="K143" i="135" s="1"/>
  <c r="I143" i="135" s="1"/>
  <c r="M142" i="135"/>
  <c r="K142" i="135" s="1"/>
  <c r="I142" i="135" s="1"/>
  <c r="K141" i="135"/>
  <c r="I141" i="135" s="1"/>
  <c r="I97" i="137"/>
  <c r="X97" i="137" s="1"/>
  <c r="X48" i="137"/>
  <c r="W49" i="137" s="1"/>
  <c r="M83" i="135"/>
  <c r="K83" i="135" s="1"/>
  <c r="I83" i="135" s="1"/>
  <c r="M82" i="135"/>
  <c r="K82" i="135" s="1"/>
  <c r="I82" i="135" s="1"/>
  <c r="K81" i="135"/>
  <c r="I81" i="135" s="1"/>
  <c r="M113" i="135"/>
  <c r="K113" i="135" s="1"/>
  <c r="I113" i="135" s="1"/>
  <c r="M112" i="135"/>
  <c r="K112" i="135" s="1"/>
  <c r="I112" i="135" s="1"/>
  <c r="K111" i="135"/>
  <c r="I111" i="135" s="1"/>
  <c r="G21" i="134"/>
  <c r="AD89" i="128"/>
  <c r="X96" i="137"/>
  <c r="K190" i="140"/>
  <c r="I190" i="140" s="1"/>
  <c r="G22" i="138"/>
  <c r="M18" i="140" s="1"/>
  <c r="G22" i="134"/>
  <c r="M20" i="135"/>
  <c r="K20" i="135" s="1"/>
  <c r="I20" i="135" s="1"/>
  <c r="K19" i="135"/>
  <c r="I19" i="135" s="1"/>
  <c r="M21" i="135"/>
  <c r="K21" i="135" s="1"/>
  <c r="I21" i="135" s="1"/>
  <c r="X99" i="137"/>
  <c r="X38" i="137"/>
  <c r="X95" i="132"/>
  <c r="M79" i="135"/>
  <c r="K79" i="135" s="1"/>
  <c r="I79" i="135" s="1"/>
  <c r="K78" i="135"/>
  <c r="M80" i="135"/>
  <c r="K80" i="135" s="1"/>
  <c r="I80" i="135" s="1"/>
  <c r="M52" i="135"/>
  <c r="K52" i="135" s="1"/>
  <c r="I52" i="135" s="1"/>
  <c r="K51" i="135"/>
  <c r="I51" i="135" s="1"/>
  <c r="M53" i="135"/>
  <c r="K53" i="135" s="1"/>
  <c r="I53" i="135" s="1"/>
  <c r="M168" i="135"/>
  <c r="K168" i="135" s="1"/>
  <c r="I168" i="135" s="1"/>
  <c r="K167" i="135"/>
  <c r="M169" i="135"/>
  <c r="K169" i="135" s="1"/>
  <c r="X94" i="132"/>
  <c r="I46" i="137"/>
  <c r="X46" i="137" s="1"/>
  <c r="I46" i="132"/>
  <c r="X46" i="132" s="1"/>
  <c r="M139" i="135"/>
  <c r="K139" i="135" s="1"/>
  <c r="I139" i="135" s="1"/>
  <c r="K138" i="135"/>
  <c r="M140" i="135"/>
  <c r="K140" i="135" s="1"/>
  <c r="I140" i="135" s="1"/>
  <c r="X94" i="137"/>
  <c r="X87" i="132"/>
  <c r="I88" i="132"/>
  <c r="X88" i="132" s="1"/>
  <c r="X89" i="132"/>
  <c r="X89" i="137"/>
  <c r="I37" i="137"/>
  <c r="X37" i="137" s="1"/>
  <c r="X36" i="137"/>
  <c r="K15" i="140" l="1"/>
  <c r="I15" i="140" s="1"/>
  <c r="K16" i="140"/>
  <c r="I16" i="140" s="1"/>
  <c r="K196" i="140"/>
  <c r="I196" i="140" s="1"/>
  <c r="I197" i="140" s="1"/>
  <c r="J32" i="129"/>
  <c r="E198" i="167"/>
  <c r="E203" i="167" s="1"/>
  <c r="J23" i="157"/>
  <c r="F203" i="167"/>
  <c r="I98" i="137"/>
  <c r="X98" i="137" s="1"/>
  <c r="X100" i="137" s="1"/>
  <c r="I48" i="135"/>
  <c r="I54" i="135" s="1"/>
  <c r="BN26" i="129" s="1"/>
  <c r="K54" i="135"/>
  <c r="BN25" i="129" s="1"/>
  <c r="I138" i="135"/>
  <c r="I144" i="135" s="1"/>
  <c r="CC26" i="129" s="1"/>
  <c r="K144" i="135"/>
  <c r="CC25" i="129" s="1"/>
  <c r="I167" i="135"/>
  <c r="K173" i="135"/>
  <c r="CH25" i="129" s="1"/>
  <c r="I108" i="135"/>
  <c r="K114" i="135"/>
  <c r="BX25" i="129" s="1"/>
  <c r="I78" i="135"/>
  <c r="I84" i="135" s="1"/>
  <c r="BS26" i="129" s="1"/>
  <c r="K84" i="135"/>
  <c r="BS25" i="129" s="1"/>
  <c r="I169" i="135"/>
  <c r="I110" i="135"/>
  <c r="W100" i="132"/>
  <c r="I47" i="137"/>
  <c r="W51" i="137"/>
  <c r="W51" i="132"/>
  <c r="W99" i="137"/>
  <c r="W101" i="137"/>
  <c r="X101" i="137"/>
  <c r="Y88" i="137"/>
  <c r="I14" i="135"/>
  <c r="I7" i="140"/>
  <c r="X98" i="132"/>
  <c r="X100" i="132" s="1"/>
  <c r="K58" i="140"/>
  <c r="I58" i="140" s="1"/>
  <c r="K48" i="140"/>
  <c r="I48" i="140" s="1"/>
  <c r="M34" i="140"/>
  <c r="W100" i="137"/>
  <c r="K33" i="135"/>
  <c r="I33" i="135" s="1"/>
  <c r="W48" i="132"/>
  <c r="W50" i="132"/>
  <c r="W102" i="137"/>
  <c r="Y37" i="132"/>
  <c r="X50" i="132"/>
  <c r="K251" i="140"/>
  <c r="I251" i="140" s="1"/>
  <c r="I252" i="140" s="1"/>
  <c r="K259" i="140"/>
  <c r="I259" i="140" s="1"/>
  <c r="I260" i="140" s="1"/>
  <c r="M239" i="140"/>
  <c r="K239" i="140" s="1"/>
  <c r="M30" i="140"/>
  <c r="K30" i="140" s="1"/>
  <c r="I30" i="140" s="1"/>
  <c r="K243" i="140"/>
  <c r="I243" i="140" s="1"/>
  <c r="I244" i="140" s="1"/>
  <c r="M240" i="140"/>
  <c r="K240" i="140" s="1"/>
  <c r="I240" i="140" s="1"/>
  <c r="M29" i="140"/>
  <c r="K29" i="140" s="1"/>
  <c r="I29" i="140" s="1"/>
  <c r="I47" i="132"/>
  <c r="X101" i="132"/>
  <c r="Y88" i="132"/>
  <c r="M17" i="135"/>
  <c r="K17" i="135" s="1"/>
  <c r="I17" i="135" s="1"/>
  <c r="K31" i="135"/>
  <c r="I31" i="135" s="1"/>
  <c r="M18" i="135"/>
  <c r="K18" i="135" s="1"/>
  <c r="I18" i="135" s="1"/>
  <c r="Y37" i="137"/>
  <c r="X50" i="137"/>
  <c r="I191" i="140"/>
  <c r="E206" i="140" s="1"/>
  <c r="F206" i="140"/>
  <c r="J26" i="129" s="1"/>
  <c r="AD26" i="129" s="1"/>
  <c r="W48" i="137"/>
  <c r="V49" i="137" s="1"/>
  <c r="W50" i="137"/>
  <c r="W99" i="132"/>
  <c r="V100" i="132" s="1"/>
  <c r="W101" i="132"/>
  <c r="AD23" i="157" l="1"/>
  <c r="AR7" i="157"/>
  <c r="J28" i="157"/>
  <c r="AD28" i="157" s="1"/>
  <c r="J27" i="157"/>
  <c r="AD27" i="157" s="1"/>
  <c r="M19" i="140"/>
  <c r="K19" i="140" s="1"/>
  <c r="I19" i="140" s="1"/>
  <c r="K18" i="140"/>
  <c r="I34" i="135"/>
  <c r="BD27" i="129" s="1"/>
  <c r="CR27" i="129" s="1"/>
  <c r="J11" i="129" s="1"/>
  <c r="I114" i="135"/>
  <c r="BX26" i="129" s="1"/>
  <c r="I22" i="135"/>
  <c r="BD26" i="129" s="1"/>
  <c r="I173" i="135"/>
  <c r="CH26" i="129" s="1"/>
  <c r="K22" i="135"/>
  <c r="BD25" i="129" s="1"/>
  <c r="CR25" i="129" s="1"/>
  <c r="J7" i="129" s="1"/>
  <c r="X47" i="137"/>
  <c r="X49" i="137" s="1"/>
  <c r="I60" i="140" s="1"/>
  <c r="E204" i="140" s="1"/>
  <c r="X102" i="132"/>
  <c r="V102" i="132"/>
  <c r="AI26" i="129"/>
  <c r="AR10" i="129"/>
  <c r="V51" i="137"/>
  <c r="M20" i="140"/>
  <c r="K20" i="140" s="1"/>
  <c r="I20" i="140" s="1"/>
  <c r="V99" i="132"/>
  <c r="V101" i="132"/>
  <c r="K34" i="140"/>
  <c r="I34" i="140" s="1"/>
  <c r="M35" i="140"/>
  <c r="K35" i="140" s="1"/>
  <c r="I35" i="140" s="1"/>
  <c r="M36" i="140"/>
  <c r="K36" i="140" s="1"/>
  <c r="I36" i="140" s="1"/>
  <c r="X102" i="137"/>
  <c r="V48" i="137"/>
  <c r="V50" i="137"/>
  <c r="X47" i="132"/>
  <c r="K241" i="140"/>
  <c r="I239" i="140"/>
  <c r="I241" i="140" s="1"/>
  <c r="V48" i="132"/>
  <c r="V50" i="132"/>
  <c r="V49" i="132"/>
  <c r="V51" i="132"/>
  <c r="V99" i="137"/>
  <c r="V101" i="137"/>
  <c r="V102" i="137"/>
  <c r="V100" i="137"/>
  <c r="AI27" i="157" l="1"/>
  <c r="E36" i="157" s="1"/>
  <c r="AR11" i="157"/>
  <c r="AR12" i="157"/>
  <c r="AI28" i="157"/>
  <c r="AR6" i="157"/>
  <c r="AI23" i="157"/>
  <c r="CR26" i="129"/>
  <c r="J10" i="129" s="1"/>
  <c r="X51" i="137"/>
  <c r="U99" i="137"/>
  <c r="U101" i="137"/>
  <c r="U102" i="137"/>
  <c r="U100" i="137"/>
  <c r="F264" i="135"/>
  <c r="E264" i="135"/>
  <c r="I18" i="140"/>
  <c r="F204" i="140"/>
  <c r="J24" i="129" s="1"/>
  <c r="AD24" i="129" s="1"/>
  <c r="F263" i="135"/>
  <c r="E263" i="135"/>
  <c r="U99" i="132"/>
  <c r="U101" i="132"/>
  <c r="U102" i="132"/>
  <c r="U100" i="132"/>
  <c r="U48" i="132"/>
  <c r="U50" i="132"/>
  <c r="U49" i="132"/>
  <c r="U51" i="132"/>
  <c r="X49" i="132"/>
  <c r="X51" i="132"/>
  <c r="U48" i="137"/>
  <c r="U50" i="137"/>
  <c r="U51" i="137"/>
  <c r="U49" i="137"/>
  <c r="F265" i="135"/>
  <c r="E265" i="135"/>
  <c r="E38" i="157" l="1"/>
  <c r="B38" i="157"/>
  <c r="AD11" i="129"/>
  <c r="J14" i="129"/>
  <c r="T48" i="132"/>
  <c r="T50" i="132"/>
  <c r="T49" i="132"/>
  <c r="T51" i="132"/>
  <c r="T99" i="132"/>
  <c r="T101" i="132"/>
  <c r="T100" i="132"/>
  <c r="T102" i="132"/>
  <c r="AR8" i="129"/>
  <c r="E269" i="135"/>
  <c r="T48" i="137"/>
  <c r="T51" i="137"/>
  <c r="T50" i="137"/>
  <c r="T49" i="137"/>
  <c r="J8" i="129"/>
  <c r="AD8" i="129" s="1"/>
  <c r="AD7" i="129"/>
  <c r="F269" i="135"/>
  <c r="T99" i="137"/>
  <c r="T101" i="137"/>
  <c r="T100" i="137"/>
  <c r="T102" i="137"/>
  <c r="AI24" i="129" l="1"/>
  <c r="S99" i="137"/>
  <c r="S100" i="137"/>
  <c r="S99" i="132"/>
  <c r="S100" i="132"/>
  <c r="S48" i="132"/>
  <c r="S49" i="132"/>
  <c r="S48" i="137"/>
  <c r="S49" i="137"/>
  <c r="AQ8" i="129"/>
  <c r="S101" i="137"/>
  <c r="S102" i="137"/>
  <c r="AD10" i="129"/>
  <c r="J15" i="129"/>
  <c r="AD15" i="129" s="1"/>
  <c r="AD14" i="129"/>
  <c r="AQ7" i="129"/>
  <c r="S50" i="137"/>
  <c r="S51" i="137"/>
  <c r="S101" i="132"/>
  <c r="S102" i="132"/>
  <c r="S50" i="132"/>
  <c r="S51" i="132"/>
  <c r="R48" i="137" l="1"/>
  <c r="R50" i="137"/>
  <c r="R49" i="137"/>
  <c r="R51" i="137"/>
  <c r="R99" i="132"/>
  <c r="R101" i="132"/>
  <c r="R102" i="132"/>
  <c r="R100" i="132"/>
  <c r="R48" i="132"/>
  <c r="R50" i="132"/>
  <c r="R51" i="132"/>
  <c r="R49" i="132"/>
  <c r="R99" i="137"/>
  <c r="R101" i="137"/>
  <c r="R100" i="137"/>
  <c r="R102" i="137"/>
  <c r="AQ11" i="129"/>
  <c r="AQ12" i="129"/>
  <c r="AQ6" i="129"/>
  <c r="Q99" i="137" l="1"/>
  <c r="Q101" i="137"/>
  <c r="Q100" i="137"/>
  <c r="Q102" i="137"/>
  <c r="Q48" i="132"/>
  <c r="Q50" i="132"/>
  <c r="Q51" i="132"/>
  <c r="Q49" i="132"/>
  <c r="Q99" i="132"/>
  <c r="Q101" i="132"/>
  <c r="Q100" i="132"/>
  <c r="Q102" i="132"/>
  <c r="Q48" i="137"/>
  <c r="Q50" i="137"/>
  <c r="Q49" i="137"/>
  <c r="Q51" i="137"/>
  <c r="P48" i="137" l="1"/>
  <c r="P50" i="137"/>
  <c r="P51" i="137"/>
  <c r="P49" i="137"/>
  <c r="P99" i="132"/>
  <c r="P101" i="132"/>
  <c r="P102" i="132"/>
  <c r="P100" i="132"/>
  <c r="P48" i="132"/>
  <c r="P50" i="132"/>
  <c r="P49" i="132"/>
  <c r="P51" i="132"/>
  <c r="P99" i="137"/>
  <c r="P101" i="137"/>
  <c r="P102" i="137"/>
  <c r="P100" i="137"/>
  <c r="O99" i="137" l="1"/>
  <c r="O101" i="137"/>
  <c r="O100" i="137"/>
  <c r="O102" i="137"/>
  <c r="O48" i="132"/>
  <c r="O50" i="132"/>
  <c r="O49" i="132"/>
  <c r="O51" i="132"/>
  <c r="O99" i="132"/>
  <c r="O102" i="132"/>
  <c r="O101" i="132"/>
  <c r="O100" i="132"/>
  <c r="O48" i="137"/>
  <c r="O50" i="137"/>
  <c r="O49" i="137"/>
  <c r="O51" i="137"/>
  <c r="N48" i="137" l="1"/>
  <c r="N50" i="137"/>
  <c r="N49" i="137"/>
  <c r="N51" i="137"/>
  <c r="N99" i="132"/>
  <c r="N101" i="132"/>
  <c r="N102" i="132"/>
  <c r="N100" i="132"/>
  <c r="N48" i="132"/>
  <c r="N50" i="132"/>
  <c r="N49" i="132"/>
  <c r="N51" i="132"/>
  <c r="N99" i="137"/>
  <c r="N101" i="137"/>
  <c r="N102" i="137"/>
  <c r="N100" i="137"/>
  <c r="M99" i="137" l="1"/>
  <c r="M101" i="137"/>
  <c r="M100" i="137"/>
  <c r="M102" i="137"/>
  <c r="M48" i="132"/>
  <c r="M50" i="132"/>
  <c r="M49" i="132"/>
  <c r="M51" i="132"/>
  <c r="M99" i="132"/>
  <c r="M102" i="132"/>
  <c r="M101" i="132"/>
  <c r="M100" i="132"/>
  <c r="M48" i="137"/>
  <c r="M50" i="137"/>
  <c r="M49" i="137"/>
  <c r="M51" i="137"/>
  <c r="L48" i="137" l="1"/>
  <c r="L50" i="137"/>
  <c r="L51" i="137"/>
  <c r="L49" i="137"/>
  <c r="L99" i="132"/>
  <c r="L102" i="132"/>
  <c r="L101" i="132"/>
  <c r="L100" i="132"/>
  <c r="L48" i="132"/>
  <c r="L50" i="132"/>
  <c r="L49" i="132"/>
  <c r="L51" i="132"/>
  <c r="L99" i="137"/>
  <c r="L101" i="137"/>
  <c r="L102" i="137"/>
  <c r="L100" i="137"/>
  <c r="K99" i="137" l="1"/>
  <c r="K101" i="137"/>
  <c r="K100" i="137"/>
  <c r="K102" i="137"/>
  <c r="K48" i="132"/>
  <c r="K50" i="132"/>
  <c r="K51" i="132"/>
  <c r="K49" i="132"/>
  <c r="K99" i="132"/>
  <c r="K101" i="132"/>
  <c r="K102" i="132"/>
  <c r="K100" i="132"/>
  <c r="K48" i="137"/>
  <c r="K50" i="137"/>
  <c r="K51" i="137"/>
  <c r="K49" i="137"/>
  <c r="J48" i="137" l="1"/>
  <c r="J50" i="137"/>
  <c r="J49" i="137"/>
  <c r="J51" i="137"/>
  <c r="J99" i="132"/>
  <c r="J102" i="132"/>
  <c r="J101" i="132"/>
  <c r="J100" i="132"/>
  <c r="J48" i="132"/>
  <c r="J50" i="132"/>
  <c r="J51" i="132"/>
  <c r="J49" i="132"/>
  <c r="J99" i="137"/>
  <c r="J101" i="137"/>
  <c r="J102" i="137"/>
  <c r="J100" i="137"/>
  <c r="I99" i="137" l="1"/>
  <c r="I101" i="137"/>
  <c r="I102" i="137"/>
  <c r="I100" i="137"/>
  <c r="I48" i="132"/>
  <c r="I50" i="132"/>
  <c r="I51" i="132"/>
  <c r="I49" i="132"/>
  <c r="I99" i="132"/>
  <c r="I102" i="132"/>
  <c r="I100" i="132"/>
  <c r="I101" i="132"/>
  <c r="I48" i="137"/>
  <c r="I50" i="137"/>
  <c r="I49" i="137"/>
  <c r="I51" i="137"/>
  <c r="K37" i="140"/>
  <c r="F202" i="140" s="1"/>
  <c r="J20" i="129" s="1"/>
  <c r="I22" i="140"/>
  <c r="I37" i="140" s="1"/>
  <c r="F203" i="140" l="1"/>
  <c r="E203" i="140"/>
  <c r="E208" i="140" s="1"/>
  <c r="AD20" i="129"/>
  <c r="AI20" i="129" s="1"/>
  <c r="J21" i="129"/>
  <c r="AD21" i="129" s="1"/>
  <c r="AI21" i="129" s="1"/>
  <c r="E202" i="140"/>
  <c r="F208" i="140" l="1"/>
  <c r="J23" i="129"/>
  <c r="AD23" i="129" l="1"/>
  <c r="J28" i="129"/>
  <c r="AD28" i="129" s="1"/>
  <c r="J27" i="129"/>
  <c r="AD27" i="129" s="1"/>
  <c r="AR7" i="129"/>
  <c r="AI28" i="129" l="1"/>
  <c r="AR12" i="129"/>
  <c r="AI27" i="129"/>
  <c r="E36" i="129" s="1"/>
  <c r="AR11" i="129"/>
  <c r="AR6" i="129"/>
  <c r="AI23" i="129"/>
  <c r="E38" i="129" l="1"/>
  <c r="B38" i="129"/>
  <c r="K37" i="167"/>
  <c r="F197" i="167" l="1"/>
  <c r="J20" i="157" s="1"/>
  <c r="E197" i="167"/>
  <c r="J21" i="157" l="1"/>
  <c r="AD21" i="157" s="1"/>
  <c r="AI21" i="157" s="1"/>
  <c r="AD20" i="157"/>
  <c r="AI20" i="157" s="1"/>
</calcChain>
</file>

<file path=xl/comments1.xml><?xml version="1.0" encoding="utf-8"?>
<comments xmlns="http://schemas.openxmlformats.org/spreadsheetml/2006/main">
  <authors>
    <author>　</author>
  </authors>
  <commentList>
    <comment ref="T16" authorId="0">
      <text>
        <r>
          <rPr>
            <b/>
            <sz val="11"/>
            <color indexed="81"/>
            <rFont val="ＭＳ Ｐゴシック"/>
            <family val="3"/>
            <charset val="128"/>
          </rPr>
          <t>発生元の市町村名を入力してください。</t>
        </r>
      </text>
    </comment>
    <comment ref="T18" authorId="0">
      <text>
        <r>
          <rPr>
            <b/>
            <sz val="11"/>
            <color indexed="81"/>
            <rFont val="ＭＳ Ｐゴシック"/>
            <family val="3"/>
            <charset val="128"/>
          </rPr>
          <t>発生元の下水処理場名を入力してください。</t>
        </r>
      </text>
    </comment>
    <comment ref="T20" authorId="0">
      <text>
        <r>
          <rPr>
            <b/>
            <sz val="11"/>
            <color indexed="81"/>
            <rFont val="ＭＳ Ｐゴシック"/>
            <family val="3"/>
            <charset val="128"/>
          </rPr>
          <t xml:space="preserve">集約するバイオマスの種類を入力してください。
</t>
        </r>
        <r>
          <rPr>
            <sz val="11"/>
            <color indexed="81"/>
            <rFont val="ＭＳ Ｐゴシック"/>
            <family val="3"/>
            <charset val="128"/>
          </rPr>
          <t xml:space="preserve">
</t>
        </r>
      </text>
    </comment>
    <comment ref="T22" authorId="0">
      <text>
        <r>
          <rPr>
            <b/>
            <sz val="11"/>
            <color indexed="81"/>
            <rFont val="ＭＳ Ｐゴシック"/>
            <family val="3"/>
            <charset val="128"/>
          </rPr>
          <t>下水汚泥の1日あたりの平均発生量を入力してください。複数の下水処理場をまとめて入力する場合は合算値を入力してください。</t>
        </r>
      </text>
    </comment>
    <comment ref="T45" authorId="0">
      <text>
        <r>
          <rPr>
            <b/>
            <sz val="11"/>
            <color indexed="81"/>
            <rFont val="ＭＳ Ｐゴシック"/>
            <family val="3"/>
            <charset val="128"/>
          </rPr>
          <t>発生元の市町村名を入力してください。</t>
        </r>
      </text>
    </comment>
    <comment ref="T47" authorId="0">
      <text>
        <r>
          <rPr>
            <b/>
            <sz val="11"/>
            <color indexed="81"/>
            <rFont val="ＭＳ Ｐゴシック"/>
            <family val="3"/>
            <charset val="128"/>
          </rPr>
          <t xml:space="preserve">集約するバイオマスの種類を入力してください。
</t>
        </r>
        <r>
          <rPr>
            <sz val="11"/>
            <color indexed="81"/>
            <rFont val="ＭＳ Ｐゴシック"/>
            <family val="3"/>
            <charset val="128"/>
          </rPr>
          <t xml:space="preserve">
</t>
        </r>
      </text>
    </comment>
    <comment ref="T49" authorId="0">
      <text>
        <r>
          <rPr>
            <b/>
            <sz val="11"/>
            <color indexed="81"/>
            <rFont val="ＭＳ Ｐゴシック"/>
            <family val="3"/>
            <charset val="128"/>
          </rPr>
          <t>下水汚泥の1日あたりの平均発生量を入力してください。複数の下水処理場をまとめて入力する場合は合算値を入力してください。</t>
        </r>
      </text>
    </comment>
    <comment ref="BN105" authorId="0">
      <text>
        <r>
          <rPr>
            <b/>
            <sz val="12"/>
            <color indexed="81"/>
            <rFont val="ＭＳ Ｐゴシック"/>
            <family val="3"/>
            <charset val="128"/>
          </rPr>
          <t>補助を適用したごみ処理施設の建設費を規模削減分として計上することを想定しているため、補助有の場合方が規模削減効果は小さくなっています。</t>
        </r>
      </text>
    </comment>
  </commentList>
</comments>
</file>

<file path=xl/comments2.xml><?xml version="1.0" encoding="utf-8"?>
<comments xmlns="http://schemas.openxmlformats.org/spreadsheetml/2006/main">
  <authors>
    <author>　</author>
    <author>東 拓弥</author>
  </authors>
  <commentList>
    <comment ref="C11" authorId="0">
      <text>
        <r>
          <rPr>
            <b/>
            <sz val="9"/>
            <color indexed="81"/>
            <rFont val="ＭＳ Ｐゴシック"/>
            <family val="3"/>
            <charset val="128"/>
          </rPr>
          <t>　発生元の市町村名を入力してください。</t>
        </r>
      </text>
    </comment>
    <comment ref="C12" authorId="0">
      <text>
        <r>
          <rPr>
            <b/>
            <sz val="9"/>
            <color indexed="81"/>
            <rFont val="ＭＳ Ｐゴシック"/>
            <family val="3"/>
            <charset val="128"/>
          </rPr>
          <t>発生元の下水処理場名を入力してください。</t>
        </r>
      </text>
    </comment>
    <comment ref="C13" authorId="0">
      <text>
        <r>
          <rPr>
            <b/>
            <sz val="9"/>
            <color indexed="81"/>
            <rFont val="ＭＳ Ｐゴシック"/>
            <family val="3"/>
            <charset val="128"/>
          </rPr>
          <t xml:space="preserve">集約するバイオマスの種類を入力してください。
</t>
        </r>
      </text>
    </comment>
    <comment ref="C14" authorId="0">
      <text>
        <r>
          <rPr>
            <b/>
            <sz val="9"/>
            <color indexed="81"/>
            <rFont val="ＭＳ Ｐゴシック"/>
            <family val="3"/>
            <charset val="128"/>
          </rPr>
          <t>下水汚泥の1日あたりの平均発生量を入力してください。複数の下水処理場をまとめて入力する場合は合算値を入力してください。</t>
        </r>
      </text>
    </comment>
    <comment ref="C15" authorId="0">
      <text>
        <r>
          <rPr>
            <b/>
            <sz val="9"/>
            <color indexed="81"/>
            <rFont val="ＭＳ Ｐゴシック"/>
            <family val="3"/>
            <charset val="128"/>
          </rPr>
          <t>日平均発生量と日最大発生量の比率です。</t>
        </r>
      </text>
    </comment>
    <comment ref="C16" authorId="0">
      <text>
        <r>
          <rPr>
            <b/>
            <sz val="9"/>
            <color indexed="81"/>
            <rFont val="ＭＳ Ｐゴシック"/>
            <family val="3"/>
            <charset val="128"/>
          </rPr>
          <t>投入するバイオマスに含まれるプラスチックや石等の発酵不適物の割合です。（異物の混入割合）</t>
        </r>
      </text>
    </comment>
    <comment ref="C17" authorId="0">
      <text>
        <r>
          <rPr>
            <b/>
            <sz val="9"/>
            <color indexed="81"/>
            <rFont val="ＭＳ Ｐゴシック"/>
            <family val="3"/>
            <charset val="128"/>
          </rPr>
          <t xml:space="preserve">下水汚泥の湿重量あたりの固形物濃度です。
※参考値有
</t>
        </r>
      </text>
    </comment>
    <comment ref="C18" authorId="0">
      <text>
        <r>
          <rPr>
            <b/>
            <sz val="9"/>
            <color indexed="81"/>
            <rFont val="ＭＳ Ｐゴシック"/>
            <family val="3"/>
            <charset val="128"/>
          </rPr>
          <t>下水汚泥の固形物中の有機物濃度です。※参考値有</t>
        </r>
      </text>
    </comment>
    <comment ref="C19" authorId="0">
      <text>
        <r>
          <rPr>
            <b/>
            <sz val="9"/>
            <color indexed="81"/>
            <rFont val="ＭＳ Ｐゴシック"/>
            <family val="3"/>
            <charset val="128"/>
          </rPr>
          <t>有機物量と分解有機物量の比率です。
※参考値有</t>
        </r>
      </text>
    </comment>
    <comment ref="C20" authorId="0">
      <text>
        <r>
          <rPr>
            <b/>
            <sz val="9"/>
            <color indexed="81"/>
            <rFont val="ＭＳ Ｐゴシック"/>
            <family val="3"/>
            <charset val="128"/>
          </rPr>
          <t>分解有機物量当たりの消化ガス発生量です。
※参考値有</t>
        </r>
      </text>
    </comment>
    <comment ref="C22" authorId="0">
      <text>
        <r>
          <rPr>
            <b/>
            <sz val="9"/>
            <color indexed="81"/>
            <rFont val="ＭＳ Ｐゴシック"/>
            <family val="3"/>
            <charset val="128"/>
          </rPr>
          <t>対象バイオマス1tもしくは1klあたりの収集運搬費を入力してください。実績が確認できない場合は類似事例もしくは参考値を入力してください。</t>
        </r>
      </text>
    </comment>
    <comment ref="C23" authorId="0">
      <text>
        <r>
          <rPr>
            <b/>
            <sz val="9"/>
            <color indexed="81"/>
            <rFont val="ＭＳ Ｐゴシック"/>
            <family val="3"/>
            <charset val="128"/>
          </rPr>
          <t xml:space="preserve">対象バイオマス1tもしくは1klあたりの処分費を入力してください。実績が確認できない場合は類似事例もしくは参考値を入力してください。
</t>
        </r>
      </text>
    </comment>
    <comment ref="C24" authorId="0">
      <text>
        <r>
          <rPr>
            <b/>
            <sz val="9"/>
            <color indexed="81"/>
            <rFont val="ＭＳ Ｐゴシック"/>
            <family val="3"/>
            <charset val="128"/>
          </rPr>
          <t>汚泥処理に関わる設備の更新費を入力してください。（実績値）</t>
        </r>
      </text>
    </comment>
    <comment ref="C25" authorId="0">
      <text>
        <r>
          <rPr>
            <b/>
            <sz val="9"/>
            <color indexed="81"/>
            <rFont val="ＭＳ Ｐゴシック"/>
            <family val="3"/>
            <charset val="128"/>
          </rPr>
          <t>汚泥処理に関わる設備の維持管理費（補修費、電力料金、人件費等）を入力してください。（実績値）</t>
        </r>
      </text>
    </comment>
    <comment ref="C29" authorId="0">
      <text>
        <r>
          <rPr>
            <b/>
            <sz val="9"/>
            <color indexed="81"/>
            <rFont val="ＭＳ Ｐゴシック"/>
            <family val="3"/>
            <charset val="128"/>
          </rPr>
          <t>発生元の市町村名を入力してください。</t>
        </r>
      </text>
    </comment>
    <comment ref="C30" authorId="0">
      <text>
        <r>
          <rPr>
            <b/>
            <sz val="9"/>
            <color indexed="81"/>
            <rFont val="ＭＳ Ｐゴシック"/>
            <family val="3"/>
            <charset val="128"/>
          </rPr>
          <t xml:space="preserve">集約するバイオマスの種類を入力してください。
</t>
        </r>
      </text>
    </comment>
    <comment ref="C31" authorId="0">
      <text>
        <r>
          <rPr>
            <b/>
            <sz val="9"/>
            <color indexed="81"/>
            <rFont val="ＭＳ Ｐゴシック"/>
            <family val="3"/>
            <charset val="128"/>
          </rPr>
          <t>バイオマスの1日あたりの平均発生量を入力してください。複数の下水処理場をまとめて入力する場合は合算値を入力してください。</t>
        </r>
      </text>
    </comment>
    <comment ref="C32" authorId="0">
      <text>
        <r>
          <rPr>
            <b/>
            <sz val="9"/>
            <color indexed="81"/>
            <rFont val="ＭＳ Ｐゴシック"/>
            <family val="3"/>
            <charset val="128"/>
          </rPr>
          <t>日平均発生量と日最大発生量の比率です。</t>
        </r>
      </text>
    </comment>
    <comment ref="C33" authorId="0">
      <text>
        <r>
          <rPr>
            <b/>
            <sz val="9"/>
            <color indexed="81"/>
            <rFont val="ＭＳ Ｐゴシック"/>
            <family val="3"/>
            <charset val="128"/>
          </rPr>
          <t xml:space="preserve">プラスチックや石等の発酵不適物の混入割合です。
</t>
        </r>
      </text>
    </comment>
    <comment ref="C34" authorId="0">
      <text>
        <r>
          <rPr>
            <b/>
            <sz val="9"/>
            <color indexed="81"/>
            <rFont val="ＭＳ Ｐゴシック"/>
            <family val="3"/>
            <charset val="128"/>
          </rPr>
          <t>バイオマスの湿重量あたりの固形物濃度です。※参考値有</t>
        </r>
        <r>
          <rPr>
            <sz val="9"/>
            <color indexed="81"/>
            <rFont val="ＭＳ Ｐゴシック"/>
            <family val="3"/>
            <charset val="128"/>
          </rPr>
          <t xml:space="preserve">
</t>
        </r>
      </text>
    </comment>
    <comment ref="C35" authorId="0">
      <text>
        <r>
          <rPr>
            <b/>
            <sz val="9"/>
            <color indexed="81"/>
            <rFont val="ＭＳ Ｐゴシック"/>
            <family val="3"/>
            <charset val="128"/>
          </rPr>
          <t>バイオマスの固形物中の有機物濃度です。※参考値有</t>
        </r>
      </text>
    </comment>
    <comment ref="C36" authorId="0">
      <text>
        <r>
          <rPr>
            <b/>
            <sz val="9"/>
            <color indexed="81"/>
            <rFont val="ＭＳ Ｐゴシック"/>
            <family val="3"/>
            <charset val="128"/>
          </rPr>
          <t>有機物量と分解有機物量の比率です。
※参考値有</t>
        </r>
        <r>
          <rPr>
            <sz val="9"/>
            <color indexed="81"/>
            <rFont val="ＭＳ Ｐゴシック"/>
            <family val="3"/>
            <charset val="128"/>
          </rPr>
          <t xml:space="preserve">
</t>
        </r>
      </text>
    </comment>
    <comment ref="C37" authorId="0">
      <text>
        <r>
          <rPr>
            <b/>
            <sz val="9"/>
            <color indexed="81"/>
            <rFont val="ＭＳ Ｐゴシック"/>
            <family val="3"/>
            <charset val="128"/>
          </rPr>
          <t>分解有機物量当たりの消化ガス発生量です。
※参考値有</t>
        </r>
      </text>
    </comment>
    <comment ref="C39" authorId="0">
      <text>
        <r>
          <rPr>
            <b/>
            <sz val="9"/>
            <color indexed="81"/>
            <rFont val="ＭＳ Ｐゴシック"/>
            <family val="3"/>
            <charset val="128"/>
          </rPr>
          <t>　対象バイオマス1tもしくは1klあたりの収集運搬費を入力してください。実績が確認できない場合は類似事例もしくは参考値を入力してください。</t>
        </r>
      </text>
    </comment>
    <comment ref="C40" authorId="0">
      <text>
        <r>
          <rPr>
            <b/>
            <sz val="9"/>
            <color indexed="81"/>
            <rFont val="ＭＳ Ｐゴシック"/>
            <family val="3"/>
            <charset val="128"/>
          </rPr>
          <t>対象バイオマス1tもしくは1klあたりの処分費を入力してください。実績が確認できない場合は類似事例もしくは参考値を入力してください。</t>
        </r>
      </text>
    </comment>
    <comment ref="C41" authorId="0">
      <text>
        <r>
          <rPr>
            <b/>
            <sz val="9"/>
            <color indexed="81"/>
            <rFont val="ＭＳ Ｐゴシック"/>
            <family val="3"/>
            <charset val="128"/>
          </rPr>
          <t>施設の更新費を入力してください。（実績値）</t>
        </r>
      </text>
    </comment>
    <comment ref="C42" authorId="0">
      <text>
        <r>
          <rPr>
            <b/>
            <sz val="9"/>
            <color indexed="81"/>
            <rFont val="ＭＳ Ｐゴシック"/>
            <family val="3"/>
            <charset val="128"/>
          </rPr>
          <t xml:space="preserve">施設の維持管理費を入力してください。（実績値）
</t>
        </r>
      </text>
    </comment>
    <comment ref="E44" authorId="0">
      <text>
        <r>
          <rPr>
            <b/>
            <sz val="9"/>
            <color indexed="81"/>
            <rFont val="ＭＳ Ｐゴシック"/>
            <family val="3"/>
            <charset val="128"/>
          </rPr>
          <t>混合バイオマス濃度：TS10%を上回ると発酵が阻害され、正常なシステムの稼働が困難になる恐れがあります。
混合バイオマス濃度：TS10%を上回る場合は、濃度の調整が必要です。</t>
        </r>
      </text>
    </comment>
    <comment ref="E47" authorId="0">
      <text>
        <r>
          <rPr>
            <b/>
            <sz val="9"/>
            <color indexed="81"/>
            <rFont val="ＭＳ Ｐゴシック"/>
            <family val="3"/>
            <charset val="128"/>
          </rPr>
          <t>有機物負荷量：3.5kg-VS/㎥/日を上回ると発酵が阻害され、正常なシステムの稼働が困難になる恐れがあります。
有機物負荷量：3.5kg-VS/㎥/日を上回る場合は、有機物負荷量の調整が必要です。</t>
        </r>
        <r>
          <rPr>
            <sz val="9"/>
            <color indexed="81"/>
            <rFont val="ＭＳ Ｐゴシック"/>
            <family val="3"/>
            <charset val="128"/>
          </rPr>
          <t xml:space="preserve">
</t>
        </r>
      </text>
    </comment>
    <comment ref="B59" authorId="0">
      <text>
        <r>
          <rPr>
            <b/>
            <sz val="9"/>
            <color indexed="81"/>
            <rFont val="ＭＳ Ｐゴシック"/>
            <family val="3"/>
            <charset val="128"/>
          </rPr>
          <t xml:space="preserve">現在の電力量料金及び補助燃料の価格を入力してください。
</t>
        </r>
      </text>
    </comment>
    <comment ref="Y60" authorId="0">
      <text>
        <r>
          <rPr>
            <b/>
            <sz val="9"/>
            <color indexed="81"/>
            <rFont val="ＭＳ Ｐゴシック"/>
            <family val="3"/>
            <charset val="128"/>
          </rPr>
          <t xml:space="preserve">「地方公営企業法施行規則」第8条第1項を参考にして適宜設定してください。
</t>
        </r>
      </text>
    </comment>
    <comment ref="AB60" authorId="0">
      <text>
        <r>
          <rPr>
            <b/>
            <sz val="9"/>
            <color indexed="81"/>
            <rFont val="ＭＳ Ｐゴシック"/>
            <family val="3"/>
            <charset val="128"/>
          </rPr>
          <t>「社会資本整備に関わる費用対効果分析に関する統一的運用指針」（平成11年3月　建設省）等を参考に、算定次の社会情勢等を勘案の上、適宜設定してください。</t>
        </r>
      </text>
    </comment>
    <comment ref="AE60" authorId="0">
      <text>
        <r>
          <rPr>
            <b/>
            <sz val="9"/>
            <color indexed="81"/>
            <rFont val="ＭＳ Ｐゴシック"/>
            <family val="3"/>
            <charset val="128"/>
          </rPr>
          <t xml:space="preserve">「地方公営企業法施行規則」別表第2号に規定する耐用年数等を参考にして、適宜設定してください。
</t>
        </r>
      </text>
    </comment>
    <comment ref="B86" authorId="1">
      <text>
        <r>
          <rPr>
            <b/>
            <sz val="10"/>
            <color indexed="81"/>
            <rFont val="ＭＳ Ｐゴシック"/>
            <family val="3"/>
            <charset val="128"/>
          </rPr>
          <t>脱水設備の種類を入力してください。</t>
        </r>
      </text>
    </comment>
    <comment ref="B87" authorId="1">
      <text>
        <r>
          <rPr>
            <b/>
            <sz val="10"/>
            <color indexed="81"/>
            <rFont val="ＭＳ Ｐゴシック"/>
            <family val="3"/>
            <charset val="128"/>
          </rPr>
          <t>1時間当たりの処理能力を入力してください。</t>
        </r>
      </text>
    </comment>
    <comment ref="B88" authorId="1">
      <text>
        <r>
          <rPr>
            <b/>
            <sz val="10"/>
            <color indexed="81"/>
            <rFont val="ＭＳ Ｐゴシック"/>
            <family val="3"/>
            <charset val="128"/>
          </rPr>
          <t>1日当たりの平均運転時間を入力してください。</t>
        </r>
      </text>
    </comment>
    <comment ref="AA88" authorId="1">
      <text>
        <r>
          <rPr>
            <b/>
            <sz val="10"/>
            <color indexed="81"/>
            <rFont val="ＭＳ Ｐゴシック"/>
            <family val="3"/>
            <charset val="128"/>
          </rPr>
          <t xml:space="preserve">混合バイオマスの消化汚泥量が既存脱水設備の処理量を上回る場合は設備の増設が必要です。
</t>
        </r>
      </text>
    </comment>
    <comment ref="B89" authorId="1">
      <text>
        <r>
          <rPr>
            <b/>
            <sz val="10"/>
            <color indexed="81"/>
            <rFont val="ＭＳ Ｐゴシック"/>
            <family val="3"/>
            <charset val="128"/>
          </rPr>
          <t>固形物処理量を入力してください。</t>
        </r>
      </text>
    </comment>
  </commentList>
</comments>
</file>

<file path=xl/comments3.xml><?xml version="1.0" encoding="utf-8"?>
<comments xmlns="http://schemas.openxmlformats.org/spreadsheetml/2006/main">
  <authors>
    <author>　</author>
    <author>東 拓弥</author>
  </authors>
  <commentList>
    <comment ref="C11" authorId="0">
      <text>
        <r>
          <rPr>
            <b/>
            <sz val="9"/>
            <color indexed="81"/>
            <rFont val="ＭＳ Ｐゴシック"/>
            <family val="3"/>
            <charset val="128"/>
          </rPr>
          <t>　発生元の市町村名を入力してください。</t>
        </r>
      </text>
    </comment>
    <comment ref="C12" authorId="0">
      <text>
        <r>
          <rPr>
            <b/>
            <sz val="9"/>
            <color indexed="81"/>
            <rFont val="ＭＳ Ｐゴシック"/>
            <family val="3"/>
            <charset val="128"/>
          </rPr>
          <t>発生元の下水処理場名を入力してください。</t>
        </r>
      </text>
    </comment>
    <comment ref="C13" authorId="0">
      <text>
        <r>
          <rPr>
            <b/>
            <sz val="9"/>
            <color indexed="81"/>
            <rFont val="ＭＳ Ｐゴシック"/>
            <family val="3"/>
            <charset val="128"/>
          </rPr>
          <t xml:space="preserve">集約するバイオマスの種類を入力してください。
</t>
        </r>
      </text>
    </comment>
    <comment ref="C14" authorId="0">
      <text>
        <r>
          <rPr>
            <b/>
            <sz val="9"/>
            <color indexed="81"/>
            <rFont val="ＭＳ Ｐゴシック"/>
            <family val="3"/>
            <charset val="128"/>
          </rPr>
          <t>下水汚泥の1日あたりの平均発生量を入力してください。複数の下水処理場をまとめて入力する場合は合算値を入力してください。</t>
        </r>
      </text>
    </comment>
    <comment ref="C15" authorId="0">
      <text>
        <r>
          <rPr>
            <b/>
            <sz val="9"/>
            <color indexed="81"/>
            <rFont val="ＭＳ Ｐゴシック"/>
            <family val="3"/>
            <charset val="128"/>
          </rPr>
          <t>日平均発生量と日最大発生量の比率です。</t>
        </r>
      </text>
    </comment>
    <comment ref="C16" authorId="0">
      <text>
        <r>
          <rPr>
            <b/>
            <sz val="9"/>
            <color indexed="81"/>
            <rFont val="ＭＳ Ｐゴシック"/>
            <family val="3"/>
            <charset val="128"/>
          </rPr>
          <t>投入するバイオマスに含まれるプラスチックや石等の発酵不適物の割合です。（異物の混入割合）</t>
        </r>
      </text>
    </comment>
    <comment ref="C17" authorId="0">
      <text>
        <r>
          <rPr>
            <b/>
            <sz val="9"/>
            <color indexed="81"/>
            <rFont val="ＭＳ Ｐゴシック"/>
            <family val="3"/>
            <charset val="128"/>
          </rPr>
          <t xml:space="preserve">下水汚泥の湿重量あたりの固形物濃度です。
※参考値有
</t>
        </r>
      </text>
    </comment>
    <comment ref="C18" authorId="0">
      <text>
        <r>
          <rPr>
            <b/>
            <sz val="9"/>
            <color indexed="81"/>
            <rFont val="ＭＳ Ｐゴシック"/>
            <family val="3"/>
            <charset val="128"/>
          </rPr>
          <t>下水汚泥の固形物中の有機物濃度です。※参考値有</t>
        </r>
      </text>
    </comment>
    <comment ref="C19" authorId="0">
      <text>
        <r>
          <rPr>
            <b/>
            <sz val="9"/>
            <color indexed="81"/>
            <rFont val="ＭＳ Ｐゴシック"/>
            <family val="3"/>
            <charset val="128"/>
          </rPr>
          <t>有機物量と分解有機物量の比率です。
※参考値有</t>
        </r>
      </text>
    </comment>
    <comment ref="C20" authorId="0">
      <text>
        <r>
          <rPr>
            <b/>
            <sz val="9"/>
            <color indexed="81"/>
            <rFont val="ＭＳ Ｐゴシック"/>
            <family val="3"/>
            <charset val="128"/>
          </rPr>
          <t>分解有機物量当たりの消化ガス発生量です。
※参考値有</t>
        </r>
      </text>
    </comment>
    <comment ref="C22" authorId="0">
      <text>
        <r>
          <rPr>
            <b/>
            <sz val="9"/>
            <color indexed="81"/>
            <rFont val="ＭＳ Ｐゴシック"/>
            <family val="3"/>
            <charset val="128"/>
          </rPr>
          <t>対象バイオマス1tもしくは1klあたりの収集運搬費を入力してください。実績が確認できない場合は類似事例もしくは参考値を入力してください。</t>
        </r>
      </text>
    </comment>
    <comment ref="C23" authorId="0">
      <text>
        <r>
          <rPr>
            <b/>
            <sz val="9"/>
            <color indexed="81"/>
            <rFont val="ＭＳ Ｐゴシック"/>
            <family val="3"/>
            <charset val="128"/>
          </rPr>
          <t xml:space="preserve">対象バイオマス1tもしくは1klあたりの処分費を入力してください。実績が確認できない場合は類似事例もしくは参考値を入力してください。
</t>
        </r>
      </text>
    </comment>
    <comment ref="C24" authorId="0">
      <text>
        <r>
          <rPr>
            <b/>
            <sz val="9"/>
            <color indexed="81"/>
            <rFont val="ＭＳ Ｐゴシック"/>
            <family val="3"/>
            <charset val="128"/>
          </rPr>
          <t>汚泥処理に関わる設備の更新費を入力してください。（実績値）</t>
        </r>
      </text>
    </comment>
    <comment ref="C25" authorId="0">
      <text>
        <r>
          <rPr>
            <b/>
            <sz val="9"/>
            <color indexed="81"/>
            <rFont val="ＭＳ Ｐゴシック"/>
            <family val="3"/>
            <charset val="128"/>
          </rPr>
          <t>汚泥処理に関わる設備の維持管理費（補修費、電力料金、人件費等）を入力してください。（実績値）</t>
        </r>
      </text>
    </comment>
    <comment ref="C29" authorId="0">
      <text>
        <r>
          <rPr>
            <b/>
            <sz val="9"/>
            <color indexed="81"/>
            <rFont val="ＭＳ Ｐゴシック"/>
            <family val="3"/>
            <charset val="128"/>
          </rPr>
          <t>発生元の市町村名を入力してください。</t>
        </r>
      </text>
    </comment>
    <comment ref="C30" authorId="0">
      <text>
        <r>
          <rPr>
            <b/>
            <sz val="9"/>
            <color indexed="81"/>
            <rFont val="ＭＳ Ｐゴシック"/>
            <family val="3"/>
            <charset val="128"/>
          </rPr>
          <t xml:space="preserve">集約するバイオマスの種類を入力してください。
</t>
        </r>
      </text>
    </comment>
    <comment ref="C31" authorId="0">
      <text>
        <r>
          <rPr>
            <b/>
            <sz val="9"/>
            <color indexed="81"/>
            <rFont val="ＭＳ Ｐゴシック"/>
            <family val="3"/>
            <charset val="128"/>
          </rPr>
          <t>バイオマスの1日あたりの平均発生量を入力してください。複数の下水処理場をまとめて入力する場合は合算値を入力してください。</t>
        </r>
      </text>
    </comment>
    <comment ref="C32" authorId="0">
      <text>
        <r>
          <rPr>
            <b/>
            <sz val="9"/>
            <color indexed="81"/>
            <rFont val="ＭＳ Ｐゴシック"/>
            <family val="3"/>
            <charset val="128"/>
          </rPr>
          <t>日平均発生量と日最大発生量の比率です。</t>
        </r>
      </text>
    </comment>
    <comment ref="C33" authorId="0">
      <text>
        <r>
          <rPr>
            <b/>
            <sz val="9"/>
            <color indexed="81"/>
            <rFont val="ＭＳ Ｐゴシック"/>
            <family val="3"/>
            <charset val="128"/>
          </rPr>
          <t xml:space="preserve">プラスチックや石等の発酵不適物の混入割合です。
</t>
        </r>
      </text>
    </comment>
    <comment ref="C34" authorId="0">
      <text>
        <r>
          <rPr>
            <b/>
            <sz val="9"/>
            <color indexed="81"/>
            <rFont val="ＭＳ Ｐゴシック"/>
            <family val="3"/>
            <charset val="128"/>
          </rPr>
          <t>バイオマスの湿重量あたりの固形物濃度です。※参考値有</t>
        </r>
        <r>
          <rPr>
            <sz val="9"/>
            <color indexed="81"/>
            <rFont val="ＭＳ Ｐゴシック"/>
            <family val="3"/>
            <charset val="128"/>
          </rPr>
          <t xml:space="preserve">
</t>
        </r>
      </text>
    </comment>
    <comment ref="C35" authorId="0">
      <text>
        <r>
          <rPr>
            <b/>
            <sz val="9"/>
            <color indexed="81"/>
            <rFont val="ＭＳ Ｐゴシック"/>
            <family val="3"/>
            <charset val="128"/>
          </rPr>
          <t>バイオマスの固形物中の有機物濃度です。※参考値有</t>
        </r>
      </text>
    </comment>
    <comment ref="C36" authorId="0">
      <text>
        <r>
          <rPr>
            <b/>
            <sz val="9"/>
            <color indexed="81"/>
            <rFont val="ＭＳ Ｐゴシック"/>
            <family val="3"/>
            <charset val="128"/>
          </rPr>
          <t>有機物量と分解有機物量の比率です。
※参考値有</t>
        </r>
        <r>
          <rPr>
            <sz val="9"/>
            <color indexed="81"/>
            <rFont val="ＭＳ Ｐゴシック"/>
            <family val="3"/>
            <charset val="128"/>
          </rPr>
          <t xml:space="preserve">
</t>
        </r>
      </text>
    </comment>
    <comment ref="C37" authorId="0">
      <text>
        <r>
          <rPr>
            <b/>
            <sz val="9"/>
            <color indexed="81"/>
            <rFont val="ＭＳ Ｐゴシック"/>
            <family val="3"/>
            <charset val="128"/>
          </rPr>
          <t>分解有機物量当たりの消化ガス発生量です。
※参考値有</t>
        </r>
      </text>
    </comment>
    <comment ref="C39" authorId="0">
      <text>
        <r>
          <rPr>
            <b/>
            <sz val="9"/>
            <color indexed="81"/>
            <rFont val="ＭＳ Ｐゴシック"/>
            <family val="3"/>
            <charset val="128"/>
          </rPr>
          <t>　対象バイオマス1tもしくは1klあたりの収集運搬費を入力してください。実績が確認できない場合は類似事例もしくは参考値を入力してください。</t>
        </r>
      </text>
    </comment>
    <comment ref="C40" authorId="0">
      <text>
        <r>
          <rPr>
            <b/>
            <sz val="9"/>
            <color indexed="81"/>
            <rFont val="ＭＳ Ｐゴシック"/>
            <family val="3"/>
            <charset val="128"/>
          </rPr>
          <t>対象バイオマス1tもしくは1klあたりの処分費を入力してください。実績が確認できない場合は類似事例もしくは参考値を入力してください。</t>
        </r>
      </text>
    </comment>
    <comment ref="C41" authorId="0">
      <text>
        <r>
          <rPr>
            <b/>
            <sz val="9"/>
            <color indexed="81"/>
            <rFont val="ＭＳ Ｐゴシック"/>
            <family val="3"/>
            <charset val="128"/>
          </rPr>
          <t>施設の更新費を入力してください。（実績値）</t>
        </r>
      </text>
    </comment>
    <comment ref="C42" authorId="0">
      <text>
        <r>
          <rPr>
            <b/>
            <sz val="9"/>
            <color indexed="81"/>
            <rFont val="ＭＳ Ｐゴシック"/>
            <family val="3"/>
            <charset val="128"/>
          </rPr>
          <t xml:space="preserve">施設の維持管理費を入力してください。（実績値）
</t>
        </r>
      </text>
    </comment>
    <comment ref="E44" authorId="0">
      <text>
        <r>
          <rPr>
            <b/>
            <sz val="9"/>
            <color indexed="81"/>
            <rFont val="ＭＳ Ｐゴシック"/>
            <family val="3"/>
            <charset val="128"/>
          </rPr>
          <t>混合バイオマス濃度：TS10%を上回ると発酵が阻害され、正常なシステムの稼働が困難になる恐れがあります。
混合バイオマス濃度：TS10%を上回る場合は、濃度の調整が必要です。</t>
        </r>
      </text>
    </comment>
    <comment ref="E47" authorId="0">
      <text>
        <r>
          <rPr>
            <b/>
            <sz val="9"/>
            <color indexed="81"/>
            <rFont val="ＭＳ Ｐゴシック"/>
            <family val="3"/>
            <charset val="128"/>
          </rPr>
          <t>有機物負荷量：3.5kg-VS/㎥/日を上回ると発酵が阻害され、正常なシステムの稼働が困難になる恐れがあります。
有機物負荷量：3.5kg-VS/㎥/日を上回る場合は、有機物負荷量の調整が必要です。</t>
        </r>
      </text>
    </comment>
    <comment ref="B59" authorId="0">
      <text>
        <r>
          <rPr>
            <b/>
            <sz val="9"/>
            <color indexed="81"/>
            <rFont val="ＭＳ Ｐゴシック"/>
            <family val="3"/>
            <charset val="128"/>
          </rPr>
          <t xml:space="preserve">現在の電力量料金及び補助燃料の価格を入力してください。
</t>
        </r>
      </text>
    </comment>
    <comment ref="Y60" authorId="0">
      <text>
        <r>
          <rPr>
            <b/>
            <sz val="9"/>
            <color indexed="81"/>
            <rFont val="ＭＳ Ｐゴシック"/>
            <family val="3"/>
            <charset val="128"/>
          </rPr>
          <t xml:space="preserve">「地方公営企業法施行規則」第8条第1項を参考にして適宜設定してください。
</t>
        </r>
      </text>
    </comment>
    <comment ref="AB60" authorId="0">
      <text>
        <r>
          <rPr>
            <b/>
            <sz val="9"/>
            <color indexed="81"/>
            <rFont val="ＭＳ Ｐゴシック"/>
            <family val="3"/>
            <charset val="128"/>
          </rPr>
          <t>「社会資本整備に関わる費用対効果分析に関する統一的運用指針」（平成11年3月　建設省）等を参考に、算定次の社会情勢等を勘案の上、適宜設定してください。</t>
        </r>
      </text>
    </comment>
    <comment ref="AE60" authorId="0">
      <text>
        <r>
          <rPr>
            <b/>
            <sz val="9"/>
            <color indexed="81"/>
            <rFont val="ＭＳ Ｐゴシック"/>
            <family val="3"/>
            <charset val="128"/>
          </rPr>
          <t xml:space="preserve">「地方公営企業法施行規則」別表第2号に規定する耐用年数等を参考にして、適宜設定してください。
</t>
        </r>
      </text>
    </comment>
    <comment ref="B86" authorId="1">
      <text>
        <r>
          <rPr>
            <b/>
            <sz val="10"/>
            <color indexed="81"/>
            <rFont val="ＭＳ Ｐゴシック"/>
            <family val="3"/>
            <charset val="128"/>
          </rPr>
          <t>脱水設備の種類を入力してください。</t>
        </r>
      </text>
    </comment>
    <comment ref="B87" authorId="1">
      <text>
        <r>
          <rPr>
            <b/>
            <sz val="10"/>
            <color indexed="81"/>
            <rFont val="ＭＳ Ｐゴシック"/>
            <family val="3"/>
            <charset val="128"/>
          </rPr>
          <t>1時間当たりの処理能力を入力してください。</t>
        </r>
      </text>
    </comment>
    <comment ref="B88" authorId="1">
      <text>
        <r>
          <rPr>
            <b/>
            <sz val="10"/>
            <color indexed="81"/>
            <rFont val="ＭＳ Ｐゴシック"/>
            <family val="3"/>
            <charset val="128"/>
          </rPr>
          <t>1日当たりの平均運転時間を入力してください。</t>
        </r>
      </text>
    </comment>
    <comment ref="AA88" authorId="1">
      <text>
        <r>
          <rPr>
            <b/>
            <sz val="10"/>
            <color indexed="81"/>
            <rFont val="ＭＳ Ｐゴシック"/>
            <family val="3"/>
            <charset val="128"/>
          </rPr>
          <t xml:space="preserve">混合バイオマスの消化汚泥量が既存脱水設備の処理量を上回る場合は設備の増設が必要です。
</t>
        </r>
      </text>
    </comment>
    <comment ref="B89" authorId="1">
      <text>
        <r>
          <rPr>
            <b/>
            <sz val="10"/>
            <color indexed="81"/>
            <rFont val="ＭＳ Ｐゴシック"/>
            <family val="3"/>
            <charset val="128"/>
          </rPr>
          <t>固形物処理量を入力してください。</t>
        </r>
      </text>
    </comment>
  </commentList>
</comments>
</file>

<file path=xl/comments4.xml><?xml version="1.0" encoding="utf-8"?>
<comments xmlns="http://schemas.openxmlformats.org/spreadsheetml/2006/main">
  <authors>
    <author>　</author>
  </authors>
  <commentList>
    <comment ref="B3" authorId="0">
      <text>
        <r>
          <rPr>
            <b/>
            <sz val="9"/>
            <color indexed="81"/>
            <rFont val="ＭＳ Ｐゴシック"/>
            <family val="3"/>
            <charset val="128"/>
          </rPr>
          <t>入力事項の実績値等が不明の場合参考にしてください。</t>
        </r>
      </text>
    </comment>
  </commentList>
</comments>
</file>

<file path=xl/comments5.xml><?xml version="1.0" encoding="utf-8"?>
<comments xmlns="http://schemas.openxmlformats.org/spreadsheetml/2006/main">
  <authors>
    <author>　</author>
  </authors>
  <commentList>
    <comment ref="F19" authorId="0">
      <text>
        <r>
          <rPr>
            <b/>
            <sz val="9"/>
            <color indexed="81"/>
            <rFont val="ＭＳ Ｐゴシック"/>
            <family val="3"/>
            <charset val="128"/>
          </rPr>
          <t>表中着色部を変更することで、表内の数値が一括して変更されます。</t>
        </r>
      </text>
    </comment>
    <comment ref="F20" authorId="0">
      <text>
        <r>
          <rPr>
            <b/>
            <sz val="9"/>
            <color indexed="81"/>
            <rFont val="ＭＳ Ｐゴシック"/>
            <family val="3"/>
            <charset val="128"/>
          </rPr>
          <t>表中着色部を変更することで、表内の数値が一括して変更されます。</t>
        </r>
      </text>
    </comment>
    <comment ref="F22" authorId="0">
      <text>
        <r>
          <rPr>
            <b/>
            <sz val="9"/>
            <color indexed="81"/>
            <rFont val="ＭＳ Ｐゴシック"/>
            <family val="3"/>
            <charset val="128"/>
          </rPr>
          <t>　表中着色部を変更することで、表内の数値が一括して変更されます。</t>
        </r>
      </text>
    </comment>
    <comment ref="F23" authorId="0">
      <text>
        <r>
          <rPr>
            <b/>
            <sz val="9"/>
            <color indexed="81"/>
            <rFont val="ＭＳ Ｐゴシック"/>
            <family val="3"/>
            <charset val="128"/>
          </rPr>
          <t>表中着色部を変更することで、表内の数値が一括して変更されます。</t>
        </r>
      </text>
    </comment>
    <comment ref="E24" authorId="0">
      <text>
        <r>
          <rPr>
            <b/>
            <sz val="9"/>
            <color indexed="81"/>
            <rFont val="ＭＳ Ｐゴシック"/>
            <family val="3"/>
            <charset val="128"/>
          </rPr>
          <t>表中着色部を変更することで、表内の数値が一括して変更されます。</t>
        </r>
      </text>
    </comment>
    <comment ref="E25" authorId="0">
      <text>
        <r>
          <rPr>
            <b/>
            <sz val="9"/>
            <color indexed="81"/>
            <rFont val="ＭＳ Ｐゴシック"/>
            <family val="3"/>
            <charset val="128"/>
          </rPr>
          <t>表中着色部を変更することで、表内の数値が一括して変更されます。</t>
        </r>
      </text>
    </comment>
    <comment ref="F26"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 ref="E27" authorId="0">
      <text>
        <r>
          <rPr>
            <b/>
            <sz val="9"/>
            <color indexed="81"/>
            <rFont val="ＭＳ Ｐゴシック"/>
            <family val="3"/>
            <charset val="128"/>
          </rPr>
          <t>表中着色部を変更することで、表内の数値が一括して変更されます。</t>
        </r>
      </text>
    </comment>
    <comment ref="F28" authorId="0">
      <text>
        <r>
          <rPr>
            <b/>
            <sz val="9"/>
            <color indexed="81"/>
            <rFont val="ＭＳ Ｐゴシック"/>
            <family val="3"/>
            <charset val="128"/>
          </rPr>
          <t>表中着色部を変更することで、表内の数値が一括して変更されます。</t>
        </r>
      </text>
    </comment>
    <comment ref="F29"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　</author>
  </authors>
  <commentList>
    <comment ref="F19" authorId="0">
      <text>
        <r>
          <rPr>
            <b/>
            <sz val="9"/>
            <color indexed="81"/>
            <rFont val="ＭＳ Ｐゴシック"/>
            <family val="3"/>
            <charset val="128"/>
          </rPr>
          <t>表中着色部を変更することで、表内の数値が一括して変更されます。</t>
        </r>
      </text>
    </comment>
    <comment ref="F20" authorId="0">
      <text>
        <r>
          <rPr>
            <b/>
            <sz val="9"/>
            <color indexed="81"/>
            <rFont val="ＭＳ Ｐゴシック"/>
            <family val="3"/>
            <charset val="128"/>
          </rPr>
          <t>表中着色部を変更することで、表内の数値が一括して変更されます。</t>
        </r>
      </text>
    </comment>
    <comment ref="F22" authorId="0">
      <text>
        <r>
          <rPr>
            <b/>
            <sz val="9"/>
            <color indexed="81"/>
            <rFont val="ＭＳ Ｐゴシック"/>
            <family val="3"/>
            <charset val="128"/>
          </rPr>
          <t>　表中着色部を変更することで、表内の数値が一括して変更されます。</t>
        </r>
      </text>
    </comment>
    <comment ref="F23" authorId="0">
      <text>
        <r>
          <rPr>
            <b/>
            <sz val="9"/>
            <color indexed="81"/>
            <rFont val="ＭＳ Ｐゴシック"/>
            <family val="3"/>
            <charset val="128"/>
          </rPr>
          <t>表中着色部を変更することで、表内の数値が一括して変更されます。</t>
        </r>
      </text>
    </comment>
    <comment ref="E24" authorId="0">
      <text>
        <r>
          <rPr>
            <b/>
            <sz val="9"/>
            <color indexed="81"/>
            <rFont val="ＭＳ Ｐゴシック"/>
            <family val="3"/>
            <charset val="128"/>
          </rPr>
          <t>表中着色部を変更することで、表内の数値が一括して変更されます。</t>
        </r>
      </text>
    </comment>
    <comment ref="E25" authorId="0">
      <text>
        <r>
          <rPr>
            <b/>
            <sz val="9"/>
            <color indexed="81"/>
            <rFont val="ＭＳ Ｐゴシック"/>
            <family val="3"/>
            <charset val="128"/>
          </rPr>
          <t>表中着色部を変更することで、表内の数値が一括して変更されます。</t>
        </r>
      </text>
    </comment>
    <comment ref="F26"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 ref="E27" authorId="0">
      <text>
        <r>
          <rPr>
            <b/>
            <sz val="9"/>
            <color indexed="81"/>
            <rFont val="ＭＳ Ｐゴシック"/>
            <family val="3"/>
            <charset val="128"/>
          </rPr>
          <t>表中着色部を変更することで、表内の数値が一括して変更されます。</t>
        </r>
      </text>
    </comment>
    <comment ref="F28" authorId="0">
      <text>
        <r>
          <rPr>
            <b/>
            <sz val="9"/>
            <color indexed="81"/>
            <rFont val="ＭＳ Ｐゴシック"/>
            <family val="3"/>
            <charset val="128"/>
          </rPr>
          <t>表中着色部を変更することで、表内の数値が一括して変更されます。</t>
        </r>
      </text>
    </comment>
    <comment ref="F29" authorId="0">
      <text>
        <r>
          <rPr>
            <b/>
            <sz val="9"/>
            <color indexed="81"/>
            <rFont val="ＭＳ Ｐゴシック"/>
            <family val="3"/>
            <charset val="128"/>
          </rPr>
          <t>表中着色部を変更することで、表内の数値が一括して変更されます。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<sst xmlns="http://schemas.openxmlformats.org/spreadsheetml/2006/main" count="9577" uniqueCount="819">
  <si>
    <t>t-wet/日</t>
    <rPh sb="6" eb="7">
      <t>ニチ</t>
    </rPh>
    <phoneticPr fontId="2"/>
  </si>
  <si>
    <r>
      <t>m</t>
    </r>
    <r>
      <rPr>
        <vertAlign val="superscript"/>
        <sz val="11"/>
        <color theme="1"/>
        <rFont val="ＭＳ Ｐゴシック"/>
        <family val="3"/>
        <charset val="128"/>
        <scheme val="minor"/>
      </rPr>
      <t>3</t>
    </r>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</si>
  <si>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/日</t>
    </r>
    <rPh sb="3" eb="4">
      <t>ニチ</t>
    </rPh>
    <phoneticPr fontId="2"/>
  </si>
  <si>
    <t>機械設備</t>
    <rPh sb="0" eb="2">
      <t>キカイ</t>
    </rPh>
    <rPh sb="2" eb="4">
      <t>セツビ</t>
    </rPh>
    <phoneticPr fontId="2"/>
  </si>
  <si>
    <t>電気設備</t>
    <rPh sb="0" eb="2">
      <t>デンキ</t>
    </rPh>
    <rPh sb="2" eb="4">
      <t>セツビ</t>
    </rPh>
    <phoneticPr fontId="2"/>
  </si>
  <si>
    <t>土木</t>
    <rPh sb="0" eb="2">
      <t>ドボク</t>
    </rPh>
    <phoneticPr fontId="2"/>
  </si>
  <si>
    <t>建築</t>
    <rPh sb="0" eb="2">
      <t>ケンチク</t>
    </rPh>
    <phoneticPr fontId="2"/>
  </si>
  <si>
    <t>百万円</t>
    <rPh sb="0" eb="2">
      <t>ヒャクマン</t>
    </rPh>
    <rPh sb="2" eb="3">
      <t>エン</t>
    </rPh>
    <phoneticPr fontId="2"/>
  </si>
  <si>
    <t>土木・建築</t>
    <rPh sb="0" eb="2">
      <t>ドボク</t>
    </rPh>
    <rPh sb="3" eb="5">
      <t>ケンチク</t>
    </rPh>
    <phoneticPr fontId="2"/>
  </si>
  <si>
    <t>ガスホルダ</t>
    <phoneticPr fontId="2"/>
  </si>
  <si>
    <t>汚泥乾燥設備</t>
    <rPh sb="0" eb="2">
      <t>オデイ</t>
    </rPh>
    <rPh sb="2" eb="4">
      <t>カンソウ</t>
    </rPh>
    <rPh sb="4" eb="6">
      <t>セツビ</t>
    </rPh>
    <phoneticPr fontId="2"/>
  </si>
  <si>
    <t>費用関数</t>
    <rPh sb="0" eb="2">
      <t>ヒヨウ</t>
    </rPh>
    <rPh sb="2" eb="4">
      <t>カンスウ</t>
    </rPh>
    <phoneticPr fontId="2"/>
  </si>
  <si>
    <t>消費電力量</t>
    <rPh sb="0" eb="2">
      <t>ショウヒ</t>
    </rPh>
    <rPh sb="2" eb="4">
      <t>デンリョク</t>
    </rPh>
    <rPh sb="4" eb="5">
      <t>リョウ</t>
    </rPh>
    <phoneticPr fontId="2"/>
  </si>
  <si>
    <t>補修費</t>
    <rPh sb="0" eb="2">
      <t>ホシュウ</t>
    </rPh>
    <rPh sb="2" eb="3">
      <t>ヒ</t>
    </rPh>
    <phoneticPr fontId="2"/>
  </si>
  <si>
    <t>百万円/年</t>
    <rPh sb="0" eb="2">
      <t>ヒャクマン</t>
    </rPh>
    <rPh sb="2" eb="3">
      <t>エン</t>
    </rPh>
    <rPh sb="4" eb="5">
      <t>ネン</t>
    </rPh>
    <phoneticPr fontId="2"/>
  </si>
  <si>
    <t>MWh/年</t>
    <rPh sb="4" eb="5">
      <t>ネン</t>
    </rPh>
    <phoneticPr fontId="2"/>
  </si>
  <si>
    <t>脱硫塔</t>
    <rPh sb="0" eb="2">
      <t>ダツリュウ</t>
    </rPh>
    <rPh sb="2" eb="3">
      <t>トウ</t>
    </rPh>
    <phoneticPr fontId="2"/>
  </si>
  <si>
    <t>維持管理費</t>
    <rPh sb="0" eb="2">
      <t>イジ</t>
    </rPh>
    <rPh sb="2" eb="4">
      <t>カンリ</t>
    </rPh>
    <rPh sb="4" eb="5">
      <t>ヒ</t>
    </rPh>
    <phoneticPr fontId="2"/>
  </si>
  <si>
    <t>メタン発酵設備</t>
    <rPh sb="3" eb="5">
      <t>ハッコウ</t>
    </rPh>
    <rPh sb="5" eb="7">
      <t>セツビ</t>
    </rPh>
    <phoneticPr fontId="2"/>
  </si>
  <si>
    <t>生ごみ</t>
    <rPh sb="0" eb="1">
      <t>ナマ</t>
    </rPh>
    <phoneticPr fontId="2"/>
  </si>
  <si>
    <t>％</t>
  </si>
  <si>
    <t>％</t>
    <phoneticPr fontId="2"/>
  </si>
  <si>
    <t>脱水設備</t>
    <rPh sb="0" eb="2">
      <t>ダッスイ</t>
    </rPh>
    <rPh sb="2" eb="4">
      <t>セツビ</t>
    </rPh>
    <phoneticPr fontId="2"/>
  </si>
  <si>
    <t>項目</t>
    <rPh sb="0" eb="2">
      <t>コウモク</t>
    </rPh>
    <phoneticPr fontId="2"/>
  </si>
  <si>
    <t>単位</t>
    <rPh sb="0" eb="2">
      <t>タンイ</t>
    </rPh>
    <phoneticPr fontId="2"/>
  </si>
  <si>
    <t>備考</t>
    <rPh sb="0" eb="2">
      <t>ビコウ</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</si>
  <si>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/kg-VS</t>
    </r>
    <phoneticPr fontId="2"/>
  </si>
  <si>
    <t>％-TS</t>
    <phoneticPr fontId="2"/>
  </si>
  <si>
    <t>負荷</t>
    <rPh sb="0" eb="2">
      <t>フカ</t>
    </rPh>
    <phoneticPr fontId="2"/>
  </si>
  <si>
    <t>投入汚泥量</t>
    <rPh sb="0" eb="2">
      <t>トウニュウ</t>
    </rPh>
    <rPh sb="2" eb="4">
      <t>オデイ</t>
    </rPh>
    <rPh sb="4" eb="5">
      <t>リョウ</t>
    </rPh>
    <phoneticPr fontId="2"/>
  </si>
  <si>
    <t>脱水機</t>
    <rPh sb="0" eb="3">
      <t>ダッスイキ</t>
    </rPh>
    <phoneticPr fontId="2"/>
  </si>
  <si>
    <t>HRT確保</t>
    <rPh sb="3" eb="5">
      <t>カクホ</t>
    </rPh>
    <phoneticPr fontId="2"/>
  </si>
  <si>
    <t>有機物負荷</t>
    <rPh sb="0" eb="3">
      <t>ユウキブツ</t>
    </rPh>
    <rPh sb="3" eb="5">
      <t>フカ</t>
    </rPh>
    <phoneticPr fontId="2"/>
  </si>
  <si>
    <t>HRT</t>
    <phoneticPr fontId="2"/>
  </si>
  <si>
    <t>判定</t>
    <rPh sb="0" eb="2">
      <t>ハンテイ</t>
    </rPh>
    <phoneticPr fontId="2"/>
  </si>
  <si>
    <t>t-VS/日</t>
    <rPh sb="5" eb="6">
      <t>ニチ</t>
    </rPh>
    <phoneticPr fontId="2"/>
  </si>
  <si>
    <t>日</t>
    <rPh sb="0" eb="1">
      <t>ニチ</t>
    </rPh>
    <phoneticPr fontId="2"/>
  </si>
  <si>
    <t>値</t>
    <rPh sb="0" eb="1">
      <t>アタイ</t>
    </rPh>
    <phoneticPr fontId="2"/>
  </si>
  <si>
    <t>t-TS/日</t>
    <rPh sb="5" eb="6">
      <t>ニチ</t>
    </rPh>
    <phoneticPr fontId="2"/>
  </si>
  <si>
    <t>合計</t>
    <rPh sb="0" eb="2">
      <t>ゴウケイ</t>
    </rPh>
    <phoneticPr fontId="2"/>
  </si>
  <si>
    <t>し尿</t>
    <rPh sb="1" eb="2">
      <t>ニョウ</t>
    </rPh>
    <phoneticPr fontId="2"/>
  </si>
  <si>
    <t>し尿処理施設</t>
    <rPh sb="1" eb="2">
      <t>ニョウ</t>
    </rPh>
    <rPh sb="2" eb="4">
      <t>ショリ</t>
    </rPh>
    <rPh sb="4" eb="6">
      <t>シセツ</t>
    </rPh>
    <phoneticPr fontId="2"/>
  </si>
  <si>
    <t>固形物濃度TS</t>
    <rPh sb="0" eb="3">
      <t>コケイブツ</t>
    </rPh>
    <rPh sb="3" eb="5">
      <t>ノウド</t>
    </rPh>
    <phoneticPr fontId="2"/>
  </si>
  <si>
    <t>し尿・浄化槽汚泥</t>
    <rPh sb="1" eb="2">
      <t>ニョウ</t>
    </rPh>
    <rPh sb="3" eb="6">
      <t>ジョウカソウ</t>
    </rPh>
    <rPh sb="6" eb="8">
      <t>オデイ</t>
    </rPh>
    <phoneticPr fontId="2"/>
  </si>
  <si>
    <t>含水率</t>
    <rPh sb="0" eb="2">
      <t>ガンスイ</t>
    </rPh>
    <rPh sb="2" eb="3">
      <t>リツ</t>
    </rPh>
    <phoneticPr fontId="2"/>
  </si>
  <si>
    <t>処理量（1%濃度換算値）</t>
    <rPh sb="0" eb="2">
      <t>ショリ</t>
    </rPh>
    <rPh sb="2" eb="3">
      <t>リョウ</t>
    </rPh>
    <phoneticPr fontId="2"/>
  </si>
  <si>
    <t>建設費</t>
    <rPh sb="0" eb="2">
      <t>ケンセツ</t>
    </rPh>
    <rPh sb="2" eb="3">
      <t>ヒ</t>
    </rPh>
    <phoneticPr fontId="2"/>
  </si>
  <si>
    <t>消化設備</t>
    <rPh sb="0" eb="2">
      <t>ショウカ</t>
    </rPh>
    <rPh sb="2" eb="4">
      <t>セツビ</t>
    </rPh>
    <phoneticPr fontId="2"/>
  </si>
  <si>
    <t>記号</t>
    <rPh sb="0" eb="2">
      <t>キゴウ</t>
    </rPh>
    <phoneticPr fontId="2"/>
  </si>
  <si>
    <t>根拠</t>
    <rPh sb="0" eb="2">
      <t>コンキョ</t>
    </rPh>
    <phoneticPr fontId="2"/>
  </si>
  <si>
    <t>設定値</t>
    <rPh sb="0" eb="3">
      <t>セッテイチ</t>
    </rPh>
    <phoneticPr fontId="2"/>
  </si>
  <si>
    <t>固形物濃度</t>
    <rPh sb="0" eb="3">
      <t>コケイブツ</t>
    </rPh>
    <rPh sb="3" eb="5">
      <t>ノウド</t>
    </rPh>
    <phoneticPr fontId="2"/>
  </si>
  <si>
    <t>有機物濃度</t>
    <rPh sb="0" eb="3">
      <t>ユウキブツ</t>
    </rPh>
    <rPh sb="3" eb="5">
      <t>ノウド</t>
    </rPh>
    <phoneticPr fontId="2"/>
  </si>
  <si>
    <t>%</t>
    <phoneticPr fontId="2"/>
  </si>
  <si>
    <t>消化
タンク</t>
    <rPh sb="0" eb="2">
      <t>ショウカ</t>
    </rPh>
    <phoneticPr fontId="2"/>
  </si>
  <si>
    <t>総合</t>
    <rPh sb="0" eb="2">
      <t>ソウゴウ</t>
    </rPh>
    <phoneticPr fontId="2"/>
  </si>
  <si>
    <t>受入</t>
    <rPh sb="0" eb="1">
      <t>ウ</t>
    </rPh>
    <rPh sb="1" eb="2">
      <t>イ</t>
    </rPh>
    <phoneticPr fontId="2"/>
  </si>
  <si>
    <t>受入物</t>
    <rPh sb="0" eb="1">
      <t>ウ</t>
    </rPh>
    <rPh sb="1" eb="2">
      <t>イ</t>
    </rPh>
    <rPh sb="2" eb="3">
      <t>モノ</t>
    </rPh>
    <phoneticPr fontId="2"/>
  </si>
  <si>
    <t>搬入量</t>
    <rPh sb="0" eb="2">
      <t>ハンニュウ</t>
    </rPh>
    <rPh sb="2" eb="3">
      <t>リョウ</t>
    </rPh>
    <phoneticPr fontId="2"/>
  </si>
  <si>
    <t>異物量</t>
    <rPh sb="0" eb="2">
      <t>イブツ</t>
    </rPh>
    <rPh sb="2" eb="3">
      <t>リョウ</t>
    </rPh>
    <phoneticPr fontId="2"/>
  </si>
  <si>
    <t>投入量</t>
    <rPh sb="0" eb="2">
      <t>トウニュウ</t>
    </rPh>
    <rPh sb="2" eb="3">
      <t>リョウ</t>
    </rPh>
    <phoneticPr fontId="2"/>
  </si>
  <si>
    <t>湿重量</t>
    <rPh sb="0" eb="1">
      <t>シツ</t>
    </rPh>
    <rPh sb="1" eb="3">
      <t>ジュウリョウ</t>
    </rPh>
    <phoneticPr fontId="2"/>
  </si>
  <si>
    <t>固形物量</t>
    <rPh sb="0" eb="3">
      <t>コケイブツ</t>
    </rPh>
    <rPh sb="3" eb="4">
      <t>リョウ</t>
    </rPh>
    <phoneticPr fontId="2"/>
  </si>
  <si>
    <t>水分量</t>
    <rPh sb="0" eb="2">
      <t>スイブン</t>
    </rPh>
    <rPh sb="2" eb="3">
      <t>リョウ</t>
    </rPh>
    <phoneticPr fontId="2"/>
  </si>
  <si>
    <t>有機物量</t>
    <rPh sb="0" eb="3">
      <t>ユウキブツ</t>
    </rPh>
    <rPh sb="3" eb="4">
      <t>リョウ</t>
    </rPh>
    <phoneticPr fontId="2"/>
  </si>
  <si>
    <t>a×A</t>
    <phoneticPr fontId="2"/>
  </si>
  <si>
    <t>c×B</t>
    <phoneticPr fontId="2"/>
  </si>
  <si>
    <t>c-d</t>
    <phoneticPr fontId="2"/>
  </si>
  <si>
    <t>d×C</t>
    <phoneticPr fontId="2"/>
  </si>
  <si>
    <t>t/日</t>
    <rPh sb="2" eb="3">
      <t>ニチ</t>
    </rPh>
    <phoneticPr fontId="2"/>
  </si>
  <si>
    <t>受入
条件</t>
    <rPh sb="0" eb="1">
      <t>ウ</t>
    </rPh>
    <rPh sb="1" eb="2">
      <t>イ</t>
    </rPh>
    <rPh sb="3" eb="5">
      <t>ジョウケン</t>
    </rPh>
    <phoneticPr fontId="2"/>
  </si>
  <si>
    <t>異物割合</t>
    <rPh sb="0" eb="2">
      <t>イブツ</t>
    </rPh>
    <rPh sb="2" eb="4">
      <t>ワリアイ</t>
    </rPh>
    <phoneticPr fontId="2"/>
  </si>
  <si>
    <t>ガス発生</t>
    <rPh sb="2" eb="4">
      <t>ハッセイ</t>
    </rPh>
    <phoneticPr fontId="2"/>
  </si>
  <si>
    <t>有機物分解率</t>
    <rPh sb="0" eb="3">
      <t>ユウキブツ</t>
    </rPh>
    <rPh sb="3" eb="5">
      <t>ブンカイ</t>
    </rPh>
    <rPh sb="5" eb="6">
      <t>リツ</t>
    </rPh>
    <phoneticPr fontId="2"/>
  </si>
  <si>
    <t>消化ガス転化量</t>
    <rPh sb="0" eb="2">
      <t>ショウカ</t>
    </rPh>
    <rPh sb="4" eb="6">
      <t>テンカ</t>
    </rPh>
    <rPh sb="6" eb="7">
      <t>リョウ</t>
    </rPh>
    <phoneticPr fontId="2"/>
  </si>
  <si>
    <t>メタンガス低位発熱量</t>
    <rPh sb="5" eb="7">
      <t>テイイ</t>
    </rPh>
    <rPh sb="7" eb="9">
      <t>ハツネツ</t>
    </rPh>
    <rPh sb="9" eb="10">
      <t>リョウ</t>
    </rPh>
    <phoneticPr fontId="2"/>
  </si>
  <si>
    <t>メタン濃度</t>
    <rPh sb="3" eb="5">
      <t>ノウド</t>
    </rPh>
    <phoneticPr fontId="2"/>
  </si>
  <si>
    <t>ガス発熱量</t>
    <rPh sb="2" eb="4">
      <t>ハツネツ</t>
    </rPh>
    <rPh sb="4" eb="5">
      <t>リョウ</t>
    </rPh>
    <phoneticPr fontId="2"/>
  </si>
  <si>
    <t>脱水汚泥含水率</t>
    <rPh sb="0" eb="2">
      <t>ダッスイ</t>
    </rPh>
    <rPh sb="2" eb="4">
      <t>オデイ</t>
    </rPh>
    <rPh sb="4" eb="6">
      <t>ガンスイ</t>
    </rPh>
    <rPh sb="6" eb="7">
      <t>リツ</t>
    </rPh>
    <phoneticPr fontId="2"/>
  </si>
  <si>
    <t>一般値</t>
    <rPh sb="0" eb="2">
      <t>イッパン</t>
    </rPh>
    <rPh sb="2" eb="3">
      <t>チ</t>
    </rPh>
    <phoneticPr fontId="2"/>
  </si>
  <si>
    <t>分解有機物量</t>
    <rPh sb="0" eb="2">
      <t>ブンカイ</t>
    </rPh>
    <rPh sb="2" eb="5">
      <t>ユウキブツ</t>
    </rPh>
    <rPh sb="5" eb="6">
      <t>リョウ</t>
    </rPh>
    <phoneticPr fontId="2"/>
  </si>
  <si>
    <t>消化汚泥</t>
    <rPh sb="0" eb="2">
      <t>ショウカ</t>
    </rPh>
    <rPh sb="2" eb="4">
      <t>オデイ</t>
    </rPh>
    <phoneticPr fontId="2"/>
  </si>
  <si>
    <t>発生量</t>
    <rPh sb="0" eb="2">
      <t>ハッセイ</t>
    </rPh>
    <rPh sb="2" eb="3">
      <t>リョウ</t>
    </rPh>
    <phoneticPr fontId="2"/>
  </si>
  <si>
    <t>全熱量</t>
    <rPh sb="0" eb="1">
      <t>ゼン</t>
    </rPh>
    <rPh sb="1" eb="3">
      <t>ネツリョウ</t>
    </rPh>
    <phoneticPr fontId="2"/>
  </si>
  <si>
    <t>投入汚泥濃度</t>
    <rPh sb="0" eb="2">
      <t>トウニュウ</t>
    </rPh>
    <rPh sb="2" eb="4">
      <t>オデイ</t>
    </rPh>
    <rPh sb="4" eb="6">
      <t>ノウド</t>
    </rPh>
    <phoneticPr fontId="2"/>
  </si>
  <si>
    <t>脱水汚泥量</t>
    <rPh sb="0" eb="2">
      <t>ダッスイ</t>
    </rPh>
    <rPh sb="2" eb="4">
      <t>オデイ</t>
    </rPh>
    <rPh sb="4" eb="5">
      <t>リョウ</t>
    </rPh>
    <phoneticPr fontId="2"/>
  </si>
  <si>
    <t>脱水汚泥固形物量</t>
    <rPh sb="0" eb="2">
      <t>ダッスイ</t>
    </rPh>
    <rPh sb="2" eb="4">
      <t>オデイ</t>
    </rPh>
    <rPh sb="4" eb="6">
      <t>コケイ</t>
    </rPh>
    <rPh sb="6" eb="8">
      <t>ブツリョウ</t>
    </rPh>
    <phoneticPr fontId="2"/>
  </si>
  <si>
    <t>脱水ろ液量</t>
    <rPh sb="0" eb="2">
      <t>ダッスイ</t>
    </rPh>
    <rPh sb="3" eb="4">
      <t>エキ</t>
    </rPh>
    <rPh sb="4" eb="5">
      <t>リョウ</t>
    </rPh>
    <phoneticPr fontId="2"/>
  </si>
  <si>
    <t>計算
結果</t>
    <rPh sb="0" eb="2">
      <t>ケイサン</t>
    </rPh>
    <rPh sb="3" eb="5">
      <t>ケッカ</t>
    </rPh>
    <phoneticPr fontId="2"/>
  </si>
  <si>
    <t>計算
条件</t>
    <rPh sb="0" eb="2">
      <t>ケイサン</t>
    </rPh>
    <rPh sb="3" eb="5">
      <t>ジョウケン</t>
    </rPh>
    <phoneticPr fontId="2"/>
  </si>
  <si>
    <t>MJ/日</t>
    <rPh sb="3" eb="4">
      <t>ニチ</t>
    </rPh>
    <phoneticPr fontId="2"/>
  </si>
  <si>
    <t>%-TS</t>
    <phoneticPr fontId="2"/>
  </si>
  <si>
    <t>有機物濃度VS</t>
    <rPh sb="0" eb="2">
      <t>ユウキ</t>
    </rPh>
    <rPh sb="2" eb="3">
      <t>ブツ</t>
    </rPh>
    <rPh sb="3" eb="5">
      <t>ノウド</t>
    </rPh>
    <phoneticPr fontId="2"/>
  </si>
  <si>
    <t>分解VS当たりの消化ガス発生量</t>
    <rPh sb="0" eb="2">
      <t>ブンカイ</t>
    </rPh>
    <rPh sb="4" eb="5">
      <t>ア</t>
    </rPh>
    <rPh sb="8" eb="10">
      <t>ショウカ</t>
    </rPh>
    <rPh sb="12" eb="14">
      <t>ハッセイ</t>
    </rPh>
    <rPh sb="14" eb="15">
      <t>リョウ</t>
    </rPh>
    <phoneticPr fontId="2"/>
  </si>
  <si>
    <t>分解VS当たりの消化ガス発生量</t>
    <rPh sb="4" eb="5">
      <t>ア</t>
    </rPh>
    <rPh sb="8" eb="10">
      <t>ショウカ</t>
    </rPh>
    <rPh sb="12" eb="14">
      <t>ハッセイ</t>
    </rPh>
    <rPh sb="14" eb="15">
      <t>リョウ</t>
    </rPh>
    <phoneticPr fontId="2"/>
  </si>
  <si>
    <t>機械</t>
    <rPh sb="0" eb="2">
      <t>キカイ</t>
    </rPh>
    <phoneticPr fontId="2"/>
  </si>
  <si>
    <t>ごみ処理施設</t>
    <rPh sb="2" eb="4">
      <t>ショリ</t>
    </rPh>
    <rPh sb="4" eb="6">
      <t>シセツ</t>
    </rPh>
    <phoneticPr fontId="2"/>
  </si>
  <si>
    <t>備　考</t>
    <rPh sb="0" eb="1">
      <t>ソナエ</t>
    </rPh>
    <rPh sb="2" eb="3">
      <t>コウ</t>
    </rPh>
    <phoneticPr fontId="7"/>
  </si>
  <si>
    <t>ごみ</t>
    <phoneticPr fontId="2"/>
  </si>
  <si>
    <t>中温消化</t>
    <rPh sb="0" eb="2">
      <t>チュウオン</t>
    </rPh>
    <rPh sb="2" eb="4">
      <t>ショウカ</t>
    </rPh>
    <phoneticPr fontId="2"/>
  </si>
  <si>
    <t>混合設備</t>
    <rPh sb="0" eb="2">
      <t>コンゴウ</t>
    </rPh>
    <rPh sb="2" eb="4">
      <t>セツビ</t>
    </rPh>
    <phoneticPr fontId="2"/>
  </si>
  <si>
    <t>乾燥機</t>
    <rPh sb="0" eb="3">
      <t>カンソウキ</t>
    </rPh>
    <phoneticPr fontId="2"/>
  </si>
  <si>
    <t>乾燥汚泥含水率</t>
    <rPh sb="0" eb="2">
      <t>カンソウ</t>
    </rPh>
    <rPh sb="2" eb="4">
      <t>オデイ</t>
    </rPh>
    <rPh sb="4" eb="6">
      <t>ガンスイ</t>
    </rPh>
    <rPh sb="6" eb="7">
      <t>リツ</t>
    </rPh>
    <phoneticPr fontId="2"/>
  </si>
  <si>
    <t>投入汚泥温度</t>
    <rPh sb="0" eb="2">
      <t>トウニュウ</t>
    </rPh>
    <rPh sb="2" eb="4">
      <t>オデイ</t>
    </rPh>
    <rPh sb="4" eb="6">
      <t>オンド</t>
    </rPh>
    <phoneticPr fontId="2"/>
  </si>
  <si>
    <t>発酵温度</t>
    <rPh sb="0" eb="2">
      <t>ハッコウ</t>
    </rPh>
    <rPh sb="2" eb="4">
      <t>オンド</t>
    </rPh>
    <phoneticPr fontId="2"/>
  </si>
  <si>
    <t>投入温度</t>
    <rPh sb="0" eb="2">
      <t>トウニュウ</t>
    </rPh>
    <rPh sb="2" eb="4">
      <t>オンド</t>
    </rPh>
    <phoneticPr fontId="2"/>
  </si>
  <si>
    <t>加温</t>
    <rPh sb="0" eb="2">
      <t>カオン</t>
    </rPh>
    <phoneticPr fontId="2"/>
  </si>
  <si>
    <t>℃</t>
    <phoneticPr fontId="2"/>
  </si>
  <si>
    <t>必要熱量</t>
    <rPh sb="0" eb="2">
      <t>ヒツヨウ</t>
    </rPh>
    <rPh sb="2" eb="4">
      <t>ネツリョウ</t>
    </rPh>
    <phoneticPr fontId="2"/>
  </si>
  <si>
    <t>乾燥汚泥量</t>
    <rPh sb="0" eb="2">
      <t>カンソウ</t>
    </rPh>
    <rPh sb="2" eb="4">
      <t>オデイ</t>
    </rPh>
    <rPh sb="4" eb="5">
      <t>リョウ</t>
    </rPh>
    <phoneticPr fontId="2"/>
  </si>
  <si>
    <t>乾燥汚泥固形物量</t>
    <rPh sb="0" eb="2">
      <t>カンソウ</t>
    </rPh>
    <rPh sb="2" eb="4">
      <t>オデイ</t>
    </rPh>
    <rPh sb="4" eb="6">
      <t>コケイ</t>
    </rPh>
    <rPh sb="6" eb="7">
      <t>ブツ</t>
    </rPh>
    <rPh sb="7" eb="8">
      <t>リョウ</t>
    </rPh>
    <phoneticPr fontId="2"/>
  </si>
  <si>
    <t>蒸発水分量</t>
    <rPh sb="0" eb="2">
      <t>ジョウハツ</t>
    </rPh>
    <rPh sb="2" eb="4">
      <t>スイブン</t>
    </rPh>
    <rPh sb="4" eb="5">
      <t>リョウ</t>
    </rPh>
    <phoneticPr fontId="2"/>
  </si>
  <si>
    <t>水の比熱：4.186MJ/t･℃　水の潜熱：2,258MJ/ｔ
固形物の比熱：0.3Mcal/t・℃</t>
    <phoneticPr fontId="2"/>
  </si>
  <si>
    <t>①</t>
    <phoneticPr fontId="2"/>
  </si>
  <si>
    <t>②</t>
    <phoneticPr fontId="2"/>
  </si>
  <si>
    <t>③</t>
    <phoneticPr fontId="2"/>
  </si>
  <si>
    <t>④</t>
    <phoneticPr fontId="2"/>
  </si>
  <si>
    <t>⑤</t>
    <phoneticPr fontId="2"/>
  </si>
  <si>
    <t>1cal=4.184J</t>
    <phoneticPr fontId="2"/>
  </si>
  <si>
    <t>水の比熱：4.186MJ/t･℃</t>
  </si>
  <si>
    <t>百万円</t>
    <rPh sb="0" eb="3">
      <t>ヒャクマンエン</t>
    </rPh>
    <phoneticPr fontId="2"/>
  </si>
  <si>
    <t>kl/日</t>
    <rPh sb="3" eb="4">
      <t>ニチ</t>
    </rPh>
    <phoneticPr fontId="2"/>
  </si>
  <si>
    <t>kl/年</t>
    <rPh sb="3" eb="4">
      <t>ネン</t>
    </rPh>
    <phoneticPr fontId="2"/>
  </si>
  <si>
    <t>処分費</t>
    <rPh sb="0" eb="2">
      <t>ショブン</t>
    </rPh>
    <rPh sb="2" eb="3">
      <t>ヒ</t>
    </rPh>
    <phoneticPr fontId="2"/>
  </si>
  <si>
    <t>百万円/年</t>
    <rPh sb="0" eb="3">
      <t>ヒャクマンエン</t>
    </rPh>
    <rPh sb="4" eb="5">
      <t>ネン</t>
    </rPh>
    <phoneticPr fontId="2"/>
  </si>
  <si>
    <t>t/年</t>
    <rPh sb="2" eb="3">
      <t>ネン</t>
    </rPh>
    <phoneticPr fontId="2"/>
  </si>
  <si>
    <t>円/t</t>
    <rPh sb="0" eb="1">
      <t>エン</t>
    </rPh>
    <phoneticPr fontId="2"/>
  </si>
  <si>
    <t>補助
燃料</t>
    <rPh sb="0" eb="2">
      <t>ホジョ</t>
    </rPh>
    <rPh sb="3" eb="5">
      <t>ネンリョウ</t>
    </rPh>
    <phoneticPr fontId="2"/>
  </si>
  <si>
    <t>灯油</t>
    <rPh sb="0" eb="2">
      <t>トウユ</t>
    </rPh>
    <phoneticPr fontId="2"/>
  </si>
  <si>
    <t>Ｌ/日</t>
    <rPh sb="2" eb="3">
      <t>ニチ</t>
    </rPh>
    <phoneticPr fontId="2"/>
  </si>
  <si>
    <t>収集運搬</t>
    <rPh sb="0" eb="2">
      <t>シュウシュウ</t>
    </rPh>
    <rPh sb="2" eb="4">
      <t>ウンパン</t>
    </rPh>
    <phoneticPr fontId="2"/>
  </si>
  <si>
    <t>最終処分</t>
    <rPh sb="0" eb="2">
      <t>サイシュウ</t>
    </rPh>
    <rPh sb="2" eb="4">
      <t>ショブン</t>
    </rPh>
    <phoneticPr fontId="2"/>
  </si>
  <si>
    <r>
      <t>Y＝8.26×Q</t>
    </r>
    <r>
      <rPr>
        <vertAlign val="superscript"/>
        <sz val="11"/>
        <color theme="1"/>
        <rFont val="ＭＳ Ｐゴシック"/>
        <family val="3"/>
        <charset val="128"/>
        <scheme val="minor"/>
      </rPr>
      <t>0.400</t>
    </r>
    <phoneticPr fontId="2"/>
  </si>
  <si>
    <r>
      <t>Y＝2.01×Q</t>
    </r>
    <r>
      <rPr>
        <vertAlign val="superscript"/>
        <sz val="11"/>
        <color theme="1"/>
        <rFont val="ＭＳ Ｐゴシック"/>
        <family val="3"/>
        <charset val="128"/>
        <scheme val="minor"/>
      </rPr>
      <t>0.583</t>
    </r>
    <phoneticPr fontId="2"/>
  </si>
  <si>
    <r>
      <t>Y＝124×(Q/500)</t>
    </r>
    <r>
      <rPr>
        <vertAlign val="superscript"/>
        <sz val="11"/>
        <color theme="1"/>
        <rFont val="ＭＳ Ｐゴシック"/>
        <family val="3"/>
        <charset val="128"/>
        <scheme val="minor"/>
      </rPr>
      <t>0.600</t>
    </r>
    <phoneticPr fontId="2"/>
  </si>
  <si>
    <r>
      <t>Y＝44.1×(Q/500)</t>
    </r>
    <r>
      <rPr>
        <vertAlign val="superscript"/>
        <sz val="11"/>
        <color theme="1"/>
        <rFont val="ＭＳ Ｐゴシック"/>
        <family val="3"/>
        <charset val="128"/>
        <scheme val="minor"/>
      </rPr>
      <t>0.600</t>
    </r>
    <phoneticPr fontId="2"/>
  </si>
  <si>
    <r>
      <t>Y＝6.59×Q</t>
    </r>
    <r>
      <rPr>
        <vertAlign val="superscript"/>
        <sz val="11"/>
        <color theme="1"/>
        <rFont val="ＭＳ Ｐゴシック"/>
        <family val="3"/>
        <charset val="128"/>
        <scheme val="minor"/>
      </rPr>
      <t>0.809</t>
    </r>
    <phoneticPr fontId="2"/>
  </si>
  <si>
    <r>
      <t>Y＝12.3×Q</t>
    </r>
    <r>
      <rPr>
        <vertAlign val="superscript"/>
        <sz val="11"/>
        <color theme="1"/>
        <rFont val="ＭＳ Ｐゴシック"/>
        <family val="3"/>
        <charset val="128"/>
        <scheme val="minor"/>
      </rPr>
      <t>0.941</t>
    </r>
    <phoneticPr fontId="2"/>
  </si>
  <si>
    <t>円/L</t>
    <rPh sb="0" eb="1">
      <t>エン</t>
    </rPh>
    <phoneticPr fontId="2"/>
  </si>
  <si>
    <t>補助燃料</t>
    <rPh sb="0" eb="2">
      <t>ホジョ</t>
    </rPh>
    <rPh sb="2" eb="4">
      <t>ネンリョウ</t>
    </rPh>
    <phoneticPr fontId="2"/>
  </si>
  <si>
    <r>
      <t>Y＝0.362×Q</t>
    </r>
    <r>
      <rPr>
        <vertAlign val="superscript"/>
        <sz val="11"/>
        <color theme="1"/>
        <rFont val="ＭＳ Ｐゴシック"/>
        <family val="3"/>
        <charset val="128"/>
        <scheme val="minor"/>
      </rPr>
      <t>0.585</t>
    </r>
    <phoneticPr fontId="2"/>
  </si>
  <si>
    <r>
      <t>Y＝0.0024×Q</t>
    </r>
    <r>
      <rPr>
        <vertAlign val="superscript"/>
        <sz val="11"/>
        <color theme="1"/>
        <rFont val="ＭＳ Ｐゴシック"/>
        <family val="3"/>
        <charset val="128"/>
        <scheme val="minor"/>
      </rPr>
      <t>0.533</t>
    </r>
    <phoneticPr fontId="2"/>
  </si>
  <si>
    <r>
      <t>Y＝0.039×Q</t>
    </r>
    <r>
      <rPr>
        <vertAlign val="superscript"/>
        <sz val="11"/>
        <color theme="1"/>
        <rFont val="ＭＳ Ｐゴシック"/>
        <family val="3"/>
        <charset val="128"/>
        <scheme val="minor"/>
      </rPr>
      <t>0.596</t>
    </r>
    <phoneticPr fontId="2"/>
  </si>
  <si>
    <r>
      <t>Y＝0.184×Q</t>
    </r>
    <r>
      <rPr>
        <vertAlign val="superscript"/>
        <sz val="11"/>
        <color theme="1"/>
        <rFont val="ＭＳ Ｐゴシック"/>
        <family val="3"/>
        <charset val="128"/>
        <scheme val="minor"/>
      </rPr>
      <t>0.400</t>
    </r>
    <phoneticPr fontId="2"/>
  </si>
  <si>
    <r>
      <t>Y＝9.45×Q</t>
    </r>
    <r>
      <rPr>
        <vertAlign val="superscript"/>
        <sz val="11"/>
        <color theme="1"/>
        <rFont val="ＭＳ Ｐゴシック"/>
        <family val="3"/>
        <charset val="128"/>
        <scheme val="minor"/>
      </rPr>
      <t>0.493</t>
    </r>
    <phoneticPr fontId="2"/>
  </si>
  <si>
    <t>Ｌ/年</t>
    <rPh sb="2" eb="3">
      <t>ネン</t>
    </rPh>
    <phoneticPr fontId="2"/>
  </si>
  <si>
    <t>電気</t>
    <rPh sb="0" eb="2">
      <t>デンキ</t>
    </rPh>
    <phoneticPr fontId="2"/>
  </si>
  <si>
    <t>計算シート</t>
    <rPh sb="0" eb="2">
      <t>ケイサン</t>
    </rPh>
    <phoneticPr fontId="2"/>
  </si>
  <si>
    <t>－</t>
    <phoneticPr fontId="2"/>
  </si>
  <si>
    <t>h</t>
    <phoneticPr fontId="2"/>
  </si>
  <si>
    <t>運転時間</t>
    <phoneticPr fontId="2"/>
  </si>
  <si>
    <r>
      <t>Y＝7.58×Q</t>
    </r>
    <r>
      <rPr>
        <vertAlign val="superscript"/>
        <sz val="11"/>
        <color theme="1"/>
        <rFont val="ＭＳ Ｐゴシック"/>
        <family val="3"/>
        <charset val="128"/>
        <scheme val="minor"/>
      </rPr>
      <t>0.264</t>
    </r>
    <phoneticPr fontId="2"/>
  </si>
  <si>
    <t>日平均数量</t>
    <rPh sb="3" eb="5">
      <t>スウリョウ</t>
    </rPh>
    <phoneticPr fontId="2"/>
  </si>
  <si>
    <t>日最大数量</t>
    <rPh sb="3" eb="5">
      <t>スウリョウ</t>
    </rPh>
    <phoneticPr fontId="2"/>
  </si>
  <si>
    <t>バイオマス</t>
    <phoneticPr fontId="2"/>
  </si>
  <si>
    <t>脱硫設備</t>
    <rPh sb="0" eb="2">
      <t>ダツリュウ</t>
    </rPh>
    <rPh sb="2" eb="4">
      <t>セツビ</t>
    </rPh>
    <phoneticPr fontId="2"/>
  </si>
  <si>
    <t>乾燥機</t>
    <rPh sb="0" eb="2">
      <t>カンソウ</t>
    </rPh>
    <rPh sb="2" eb="3">
      <t>キ</t>
    </rPh>
    <phoneticPr fontId="2"/>
  </si>
  <si>
    <t>混合バイオマス</t>
    <rPh sb="0" eb="2">
      <t>コンゴウ</t>
    </rPh>
    <phoneticPr fontId="2"/>
  </si>
  <si>
    <t>種類</t>
    <rPh sb="0" eb="2">
      <t>シュルイ</t>
    </rPh>
    <phoneticPr fontId="2"/>
  </si>
  <si>
    <t>浄化槽汚泥</t>
    <rPh sb="0" eb="2">
      <t>ジョウカ</t>
    </rPh>
    <rPh sb="2" eb="3">
      <t>ソウ</t>
    </rPh>
    <rPh sb="3" eb="5">
      <t>オデイ</t>
    </rPh>
    <phoneticPr fontId="2"/>
  </si>
  <si>
    <t>固形物濃度（TS）</t>
    <rPh sb="0" eb="3">
      <t>コケイブツ</t>
    </rPh>
    <rPh sb="3" eb="5">
      <t>ノウド</t>
    </rPh>
    <phoneticPr fontId="2"/>
  </si>
  <si>
    <t>有機物濃度（VS）</t>
    <rPh sb="0" eb="3">
      <t>ユウキブツ</t>
    </rPh>
    <rPh sb="3" eb="5">
      <t>ノウド</t>
    </rPh>
    <phoneticPr fontId="2"/>
  </si>
  <si>
    <t>t-ＴS/日</t>
    <rPh sb="5" eb="6">
      <t>ニチ</t>
    </rPh>
    <phoneticPr fontId="2"/>
  </si>
  <si>
    <r>
      <t>Nm</t>
    </r>
    <r>
      <rPr>
        <vertAlign val="superscript"/>
        <sz val="11"/>
        <rFont val="ＭＳ Ｐゴシック"/>
        <family val="3"/>
        <charset val="128"/>
        <scheme val="minor"/>
      </rPr>
      <t>3</t>
    </r>
    <r>
      <rPr>
        <sz val="11"/>
        <rFont val="ＭＳ Ｐゴシック"/>
        <family val="3"/>
        <charset val="128"/>
        <scheme val="minor"/>
      </rPr>
      <t>/日</t>
    </r>
    <rPh sb="4" eb="5">
      <t>ニチ</t>
    </rPh>
    <phoneticPr fontId="2"/>
  </si>
  <si>
    <r>
      <t>m</t>
    </r>
    <r>
      <rPr>
        <vertAlign val="superscript"/>
        <sz val="11"/>
        <rFont val="ＭＳ Ｐゴシック"/>
        <family val="3"/>
        <charset val="128"/>
        <scheme val="minor"/>
      </rPr>
      <t>3</t>
    </r>
    <r>
      <rPr>
        <sz val="11"/>
        <rFont val="ＭＳ Ｐゴシック"/>
        <family val="3"/>
        <charset val="128"/>
        <scheme val="minor"/>
      </rPr>
      <t>/日</t>
    </r>
    <rPh sb="3" eb="4">
      <t>ニチ</t>
    </rPh>
    <phoneticPr fontId="2"/>
  </si>
  <si>
    <r>
      <t>Nm</t>
    </r>
    <r>
      <rPr>
        <vertAlign val="superscript"/>
        <sz val="11"/>
        <rFont val="ＭＳ Ｐゴシック"/>
        <family val="3"/>
        <charset val="128"/>
        <scheme val="minor"/>
      </rPr>
      <t>3</t>
    </r>
    <r>
      <rPr>
        <sz val="11"/>
        <rFont val="ＭＳ Ｐゴシック"/>
        <family val="3"/>
        <charset val="128"/>
        <scheme val="minor"/>
      </rPr>
      <t>/kg-VS</t>
    </r>
    <phoneticPr fontId="2"/>
  </si>
  <si>
    <r>
      <t>kJ/Nm</t>
    </r>
    <r>
      <rPr>
        <vertAlign val="superscript"/>
        <sz val="11"/>
        <rFont val="ＭＳ Ｐゴシック"/>
        <family val="3"/>
        <charset val="128"/>
        <scheme val="minor"/>
      </rPr>
      <t>3</t>
    </r>
    <phoneticPr fontId="2"/>
  </si>
  <si>
    <t>ガスホルダー</t>
    <phoneticPr fontId="2"/>
  </si>
  <si>
    <t>a-b</t>
    <phoneticPr fontId="2"/>
  </si>
  <si>
    <t>日平均</t>
    <rPh sb="0" eb="1">
      <t>ニチ</t>
    </rPh>
    <rPh sb="1" eb="3">
      <t>ヘイキン</t>
    </rPh>
    <phoneticPr fontId="2"/>
  </si>
  <si>
    <t>日最大</t>
    <rPh sb="0" eb="1">
      <t>ニチ</t>
    </rPh>
    <rPh sb="1" eb="3">
      <t>サイダイ</t>
    </rPh>
    <phoneticPr fontId="2"/>
  </si>
  <si>
    <t>ガス貯留容量</t>
    <rPh sb="2" eb="4">
      <t>チョリュウ</t>
    </rPh>
    <rPh sb="4" eb="6">
      <t>ヨウリョウ</t>
    </rPh>
    <phoneticPr fontId="2"/>
  </si>
  <si>
    <t>処理能力</t>
    <rPh sb="0" eb="2">
      <t>ショリ</t>
    </rPh>
    <rPh sb="2" eb="4">
      <t>ノウリョク</t>
    </rPh>
    <phoneticPr fontId="2"/>
  </si>
  <si>
    <t>受入貯留槽</t>
    <rPh sb="0" eb="2">
      <t>ウケイレ</t>
    </rPh>
    <rPh sb="2" eb="5">
      <t>チョリュウソウ</t>
    </rPh>
    <phoneticPr fontId="2"/>
  </si>
  <si>
    <t>受入槽容量</t>
    <rPh sb="0" eb="2">
      <t>ウケイレ</t>
    </rPh>
    <rPh sb="2" eb="3">
      <t>ソウ</t>
    </rPh>
    <rPh sb="3" eb="5">
      <t>ヨウリョウ</t>
    </rPh>
    <phoneticPr fontId="2"/>
  </si>
  <si>
    <t>バイオマス混合槽</t>
    <rPh sb="5" eb="7">
      <t>コンゴウ</t>
    </rPh>
    <rPh sb="7" eb="8">
      <t>ソウ</t>
    </rPh>
    <phoneticPr fontId="2"/>
  </si>
  <si>
    <t>混合槽容量</t>
    <rPh sb="0" eb="2">
      <t>コンゴウ</t>
    </rPh>
    <rPh sb="2" eb="3">
      <t>ソウ</t>
    </rPh>
    <rPh sb="3" eb="5">
      <t>ヨウリョウ</t>
    </rPh>
    <phoneticPr fontId="2"/>
  </si>
  <si>
    <t>施設能力判定・算出</t>
    <rPh sb="0" eb="2">
      <t>シセツ</t>
    </rPh>
    <rPh sb="2" eb="4">
      <t>ノウリョク</t>
    </rPh>
    <rPh sb="4" eb="6">
      <t>ハンテイ</t>
    </rPh>
    <rPh sb="7" eb="9">
      <t>サンシュツ</t>
    </rPh>
    <phoneticPr fontId="2"/>
  </si>
  <si>
    <t>メタン発酵槽</t>
    <rPh sb="3" eb="5">
      <t>ハッコウ</t>
    </rPh>
    <rPh sb="5" eb="6">
      <t>ソウ</t>
    </rPh>
    <phoneticPr fontId="2"/>
  </si>
  <si>
    <t>メタン発酵槽容量</t>
    <rPh sb="3" eb="5">
      <t>ハッコウ</t>
    </rPh>
    <rPh sb="5" eb="6">
      <t>ソウ</t>
    </rPh>
    <rPh sb="6" eb="8">
      <t>ヨウリョウ</t>
    </rPh>
    <phoneticPr fontId="2"/>
  </si>
  <si>
    <t>　　</t>
    <phoneticPr fontId="2"/>
  </si>
  <si>
    <t>貯留日数の基準　</t>
    <rPh sb="0" eb="2">
      <t>チョリュウ</t>
    </rPh>
    <rPh sb="2" eb="4">
      <t>ニッスウ</t>
    </rPh>
    <rPh sb="5" eb="7">
      <t>キジュン</t>
    </rPh>
    <phoneticPr fontId="2"/>
  </si>
  <si>
    <t>適用条件</t>
    <rPh sb="0" eb="2">
      <t>テキヨウ</t>
    </rPh>
    <rPh sb="2" eb="4">
      <t>ジョウケン</t>
    </rPh>
    <phoneticPr fontId="2"/>
  </si>
  <si>
    <t>温度条件：中温条件</t>
    <rPh sb="0" eb="2">
      <t>オンド</t>
    </rPh>
    <rPh sb="2" eb="4">
      <t>ジョウケン</t>
    </rPh>
    <rPh sb="5" eb="7">
      <t>チュウオン</t>
    </rPh>
    <rPh sb="7" eb="9">
      <t>ジョウケン</t>
    </rPh>
    <phoneticPr fontId="2"/>
  </si>
  <si>
    <t>混合バイオマス濃度：TS10％以下</t>
    <rPh sb="0" eb="2">
      <t>コンゴウ</t>
    </rPh>
    <rPh sb="7" eb="9">
      <t>ノウド</t>
    </rPh>
    <rPh sb="15" eb="17">
      <t>イカ</t>
    </rPh>
    <phoneticPr fontId="2"/>
  </si>
  <si>
    <r>
      <t>有機物負荷量：3.5kg-VS/m</t>
    </r>
    <r>
      <rPr>
        <vertAlign val="superscript"/>
        <sz val="11"/>
        <color theme="1"/>
        <rFont val="ＭＳ Ｐゴシック"/>
        <family val="3"/>
        <charset val="128"/>
        <scheme val="minor"/>
      </rPr>
      <t>3</t>
    </r>
    <r>
      <rPr>
        <sz val="11"/>
        <color theme="1"/>
        <rFont val="ＭＳ Ｐゴシック"/>
        <family val="2"/>
        <charset val="128"/>
        <scheme val="minor"/>
      </rPr>
      <t>日以下</t>
    </r>
    <rPh sb="0" eb="3">
      <t>ユウキブツ</t>
    </rPh>
    <rPh sb="3" eb="5">
      <t>フカ</t>
    </rPh>
    <rPh sb="5" eb="6">
      <t>リョウ</t>
    </rPh>
    <rPh sb="18" eb="19">
      <t>ニチ</t>
    </rPh>
    <rPh sb="19" eb="21">
      <t>イカ</t>
    </rPh>
    <phoneticPr fontId="2"/>
  </si>
  <si>
    <t>既存能力</t>
    <rPh sb="0" eb="2">
      <t>キゾン</t>
    </rPh>
    <rPh sb="2" eb="4">
      <t>ノウリョク</t>
    </rPh>
    <phoneticPr fontId="2"/>
  </si>
  <si>
    <t>固形物負荷</t>
    <rPh sb="0" eb="3">
      <t>コケイブツ</t>
    </rPh>
    <rPh sb="3" eb="5">
      <t>フカ</t>
    </rPh>
    <phoneticPr fontId="2"/>
  </si>
  <si>
    <t>必要増設能力</t>
    <rPh sb="0" eb="2">
      <t>ヒツヨウ</t>
    </rPh>
    <rPh sb="2" eb="4">
      <t>ゾウセツ</t>
    </rPh>
    <rPh sb="4" eb="6">
      <t>ノウリョク</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</si>
  <si>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/h</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</si>
  <si>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-DS</t>
    </r>
    <r>
      <rPr>
        <sz val="11"/>
        <color theme="1"/>
        <rFont val="ＭＳ Ｐゴシック"/>
        <family val="2"/>
        <charset val="128"/>
        <scheme val="minor"/>
      </rPr>
      <t>/日</t>
    </r>
    <rPh sb="6" eb="7">
      <t>ニチ</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</si>
  <si>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-DS/日</t>
    </r>
    <rPh sb="6" eb="7">
      <t>ニチ</t>
    </rPh>
    <phoneticPr fontId="2"/>
  </si>
  <si>
    <t>円/kwh</t>
    <rPh sb="0" eb="1">
      <t>エン</t>
    </rPh>
    <phoneticPr fontId="2"/>
  </si>
  <si>
    <t>価格</t>
    <rPh sb="0" eb="2">
      <t>カカク</t>
    </rPh>
    <phoneticPr fontId="2"/>
  </si>
  <si>
    <t>し尿等</t>
    <rPh sb="1" eb="2">
      <t>ニョウ</t>
    </rPh>
    <rPh sb="2" eb="3">
      <t>トウ</t>
    </rPh>
    <phoneticPr fontId="2"/>
  </si>
  <si>
    <t xml:space="preserve"> </t>
    <phoneticPr fontId="2"/>
  </si>
  <si>
    <t>濃縮汚泥</t>
    <rPh sb="0" eb="2">
      <t>ノウシュク</t>
    </rPh>
    <rPh sb="2" eb="4">
      <t>オデイ</t>
    </rPh>
    <phoneticPr fontId="2"/>
  </si>
  <si>
    <t>：下水道汚泥、農業集落排水汚泥　厨芥類：1～2日</t>
    <phoneticPr fontId="2"/>
  </si>
  <si>
    <t>　し尿、浄化槽汚泥：1日以下</t>
    <rPh sb="2" eb="3">
      <t>ニョウ</t>
    </rPh>
    <rPh sb="4" eb="6">
      <t>ジョウカ</t>
    </rPh>
    <rPh sb="6" eb="7">
      <t>ソウ</t>
    </rPh>
    <rPh sb="7" eb="9">
      <t>オデイ</t>
    </rPh>
    <rPh sb="11" eb="12">
      <t>ニチ</t>
    </rPh>
    <rPh sb="12" eb="14">
      <t>イカ</t>
    </rPh>
    <phoneticPr fontId="2"/>
  </si>
  <si>
    <t>⇒</t>
    <phoneticPr fontId="2"/>
  </si>
  <si>
    <t>能力不足の場合：必要能力を表示</t>
    <rPh sb="0" eb="2">
      <t>ノウリョク</t>
    </rPh>
    <rPh sb="2" eb="4">
      <t>ブソク</t>
    </rPh>
    <rPh sb="5" eb="7">
      <t>バアイ</t>
    </rPh>
    <rPh sb="8" eb="10">
      <t>ヒツヨウ</t>
    </rPh>
    <rPh sb="10" eb="12">
      <t>ノウリョク</t>
    </rPh>
    <rPh sb="13" eb="15">
      <t>ヒョウジ</t>
    </rPh>
    <phoneticPr fontId="2"/>
  </si>
  <si>
    <t>既存処理能力</t>
    <rPh sb="0" eb="2">
      <t>キゾン</t>
    </rPh>
    <rPh sb="2" eb="4">
      <t>ショリ</t>
    </rPh>
    <rPh sb="4" eb="6">
      <t>ノウリョク</t>
    </rPh>
    <phoneticPr fontId="2"/>
  </si>
  <si>
    <t>必要処理能力</t>
    <rPh sb="0" eb="2">
      <t>ヒツヨウ</t>
    </rPh>
    <rPh sb="2" eb="4">
      <t>ショリ</t>
    </rPh>
    <rPh sb="4" eb="6">
      <t>ノウリョク</t>
    </rPh>
    <phoneticPr fontId="2"/>
  </si>
  <si>
    <t>能力判定</t>
    <rPh sb="0" eb="2">
      <t>ノウリョク</t>
    </rPh>
    <rPh sb="2" eb="4">
      <t>ハンテイ</t>
    </rPh>
    <phoneticPr fontId="2"/>
  </si>
  <si>
    <t>能力</t>
    <rPh sb="0" eb="2">
      <t>ノウリョク</t>
    </rPh>
    <phoneticPr fontId="2"/>
  </si>
  <si>
    <t>【基本情報入力】</t>
    <rPh sb="1" eb="3">
      <t>キホン</t>
    </rPh>
    <rPh sb="3" eb="5">
      <t>ジョウホウ</t>
    </rPh>
    <rPh sb="5" eb="7">
      <t>ニュウリョク</t>
    </rPh>
    <phoneticPr fontId="2"/>
  </si>
  <si>
    <t>参考値</t>
    <rPh sb="0" eb="2">
      <t>サンコウ</t>
    </rPh>
    <rPh sb="2" eb="3">
      <t>チ</t>
    </rPh>
    <phoneticPr fontId="2"/>
  </si>
  <si>
    <t>収集運搬費</t>
    <rPh sb="0" eb="2">
      <t>シュウシュウ</t>
    </rPh>
    <rPh sb="2" eb="4">
      <t>ウンパン</t>
    </rPh>
    <rPh sb="4" eb="5">
      <t>ヒ</t>
    </rPh>
    <phoneticPr fontId="2"/>
  </si>
  <si>
    <t>収集運搬単価</t>
    <rPh sb="0" eb="2">
      <t>シュウシュウ</t>
    </rPh>
    <rPh sb="2" eb="4">
      <t>ウンパン</t>
    </rPh>
    <rPh sb="4" eb="6">
      <t>タンカ</t>
    </rPh>
    <phoneticPr fontId="2"/>
  </si>
  <si>
    <t>処分単価</t>
    <rPh sb="0" eb="2">
      <t>ショブン</t>
    </rPh>
    <rPh sb="2" eb="4">
      <t>タンカ</t>
    </rPh>
    <phoneticPr fontId="2"/>
  </si>
  <si>
    <t>◆ユーティリティ価格</t>
    <rPh sb="8" eb="10">
      <t>カカク</t>
    </rPh>
    <phoneticPr fontId="2"/>
  </si>
  <si>
    <t>単価</t>
    <rPh sb="0" eb="2">
      <t>タンカ</t>
    </rPh>
    <phoneticPr fontId="2"/>
  </si>
  <si>
    <t>千円/t</t>
    <rPh sb="0" eb="2">
      <t>センエン</t>
    </rPh>
    <phoneticPr fontId="2"/>
  </si>
  <si>
    <t>千円/kl</t>
    <rPh sb="0" eb="2">
      <t>センエン</t>
    </rPh>
    <phoneticPr fontId="2"/>
  </si>
  <si>
    <t>環境省　一般廃棄物実態調査より石川県の5ヵ年平均値</t>
    <rPh sb="0" eb="3">
      <t>カンキョウショウ</t>
    </rPh>
    <rPh sb="4" eb="6">
      <t>イッパン</t>
    </rPh>
    <rPh sb="6" eb="9">
      <t>ハイキブツ</t>
    </rPh>
    <rPh sb="9" eb="11">
      <t>ジッタイ</t>
    </rPh>
    <rPh sb="11" eb="13">
      <t>チョウサ</t>
    </rPh>
    <rPh sb="15" eb="18">
      <t>イシカワケン</t>
    </rPh>
    <rPh sb="21" eb="22">
      <t>ネン</t>
    </rPh>
    <rPh sb="22" eb="25">
      <t>ヘイキンチ</t>
    </rPh>
    <phoneticPr fontId="2"/>
  </si>
  <si>
    <t>環境省　一般廃棄物実態調査より全国の5ヵ年平均値</t>
    <rPh sb="0" eb="3">
      <t>カンキョウショウ</t>
    </rPh>
    <rPh sb="4" eb="6">
      <t>イッパン</t>
    </rPh>
    <rPh sb="6" eb="9">
      <t>ハイキブツ</t>
    </rPh>
    <rPh sb="9" eb="11">
      <t>ジッタイ</t>
    </rPh>
    <rPh sb="11" eb="13">
      <t>チョウサ</t>
    </rPh>
    <rPh sb="15" eb="17">
      <t>ゼンコク</t>
    </rPh>
    <rPh sb="20" eb="21">
      <t>ネン</t>
    </rPh>
    <rPh sb="21" eb="24">
      <t>ヘイキンチ</t>
    </rPh>
    <phoneticPr fontId="2"/>
  </si>
  <si>
    <t>集落排水汚泥</t>
    <rPh sb="0" eb="2">
      <t>シュウラク</t>
    </rPh>
    <rPh sb="2" eb="4">
      <t>ハイスイ</t>
    </rPh>
    <rPh sb="4" eb="6">
      <t>オデイ</t>
    </rPh>
    <phoneticPr fontId="2"/>
  </si>
  <si>
    <t>-</t>
    <phoneticPr fontId="2"/>
  </si>
  <si>
    <t>TS</t>
    <phoneticPr fontId="2"/>
  </si>
  <si>
    <t>年間発生量</t>
    <rPh sb="0" eb="2">
      <t>ネンカン</t>
    </rPh>
    <rPh sb="2" eb="4">
      <t>ハッセイ</t>
    </rPh>
    <rPh sb="4" eb="5">
      <t>リョウ</t>
    </rPh>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</si>
  <si>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/年</t>
    </r>
    <rPh sb="3" eb="4">
      <t>ネン</t>
    </rPh>
    <phoneticPr fontId="2"/>
  </si>
  <si>
    <r>
      <t>kJ/Nm</t>
    </r>
    <r>
      <rPr>
        <vertAlign val="superscript"/>
        <sz val="11"/>
        <color theme="1"/>
        <rFont val="ＭＳ Ｐゴシック"/>
        <family val="3"/>
        <charset val="128"/>
        <scheme val="minor"/>
      </rPr>
      <t>3</t>
    </r>
    <phoneticPr fontId="2"/>
  </si>
  <si>
    <t>乾燥機投入汚泥温度</t>
    <rPh sb="0" eb="2">
      <t>カンソウ</t>
    </rPh>
    <rPh sb="2" eb="3">
      <t>キ</t>
    </rPh>
    <rPh sb="3" eb="5">
      <t>トウニュウ</t>
    </rPh>
    <rPh sb="5" eb="7">
      <t>オデイ</t>
    </rPh>
    <rPh sb="7" eb="9">
      <t>オンド</t>
    </rPh>
    <phoneticPr fontId="2"/>
  </si>
  <si>
    <t>発電効率</t>
    <rPh sb="0" eb="2">
      <t>ハツデン</t>
    </rPh>
    <rPh sb="2" eb="4">
      <t>コウリツ</t>
    </rPh>
    <phoneticPr fontId="2"/>
  </si>
  <si>
    <t>有効発電率</t>
    <rPh sb="0" eb="2">
      <t>ユウコウ</t>
    </rPh>
    <rPh sb="2" eb="4">
      <t>ハツデン</t>
    </rPh>
    <rPh sb="4" eb="5">
      <t>リツ</t>
    </rPh>
    <phoneticPr fontId="2"/>
  </si>
  <si>
    <t>廃熱回収率</t>
    <rPh sb="0" eb="2">
      <t>ハイネツ</t>
    </rPh>
    <rPh sb="2" eb="4">
      <t>カイシュウ</t>
    </rPh>
    <rPh sb="4" eb="5">
      <t>リツ</t>
    </rPh>
    <phoneticPr fontId="2"/>
  </si>
  <si>
    <t>■消化条件：メタン発酵設備における消化条件を入力してください。</t>
    <rPh sb="1" eb="3">
      <t>ショウカ</t>
    </rPh>
    <rPh sb="3" eb="5">
      <t>ジョウケン</t>
    </rPh>
    <rPh sb="9" eb="11">
      <t>ハッコウ</t>
    </rPh>
    <rPh sb="11" eb="13">
      <t>セツビ</t>
    </rPh>
    <rPh sb="17" eb="19">
      <t>ショウカ</t>
    </rPh>
    <rPh sb="19" eb="21">
      <t>ジョウケン</t>
    </rPh>
    <rPh sb="22" eb="24">
      <t>ニュウリョク</t>
    </rPh>
    <phoneticPr fontId="2"/>
  </si>
  <si>
    <t>■その他条件：消化後の脱水条件・乾燥条件を入力してください。</t>
    <rPh sb="3" eb="4">
      <t>タ</t>
    </rPh>
    <rPh sb="4" eb="6">
      <t>ジョウケン</t>
    </rPh>
    <rPh sb="7" eb="9">
      <t>ショウカ</t>
    </rPh>
    <rPh sb="9" eb="10">
      <t>ゴ</t>
    </rPh>
    <rPh sb="11" eb="13">
      <t>ダッスイ</t>
    </rPh>
    <rPh sb="13" eb="15">
      <t>ジョウケン</t>
    </rPh>
    <rPh sb="16" eb="18">
      <t>カンソウ</t>
    </rPh>
    <rPh sb="18" eb="20">
      <t>ジョウケン</t>
    </rPh>
    <rPh sb="21" eb="23">
      <t>ニュウリョク</t>
    </rPh>
    <phoneticPr fontId="2"/>
  </si>
  <si>
    <t>■発電機：発電機の仕様を入力してください。</t>
    <rPh sb="1" eb="3">
      <t>ハツデン</t>
    </rPh>
    <rPh sb="3" eb="4">
      <t>キ</t>
    </rPh>
    <rPh sb="5" eb="8">
      <t>ハツデンキ</t>
    </rPh>
    <rPh sb="9" eb="11">
      <t>シヨウ</t>
    </rPh>
    <rPh sb="12" eb="14">
      <t>ニュウリョク</t>
    </rPh>
    <phoneticPr fontId="2"/>
  </si>
  <si>
    <t>●事業費</t>
    <rPh sb="1" eb="3">
      <t>ジギョウ</t>
    </rPh>
    <rPh sb="3" eb="4">
      <t>ヒ</t>
    </rPh>
    <phoneticPr fontId="2"/>
  </si>
  <si>
    <t>建設</t>
    <rPh sb="0" eb="2">
      <t>ケンセツ</t>
    </rPh>
    <phoneticPr fontId="2"/>
  </si>
  <si>
    <t>設備</t>
    <rPh sb="0" eb="2">
      <t>セツビ</t>
    </rPh>
    <phoneticPr fontId="2"/>
  </si>
  <si>
    <t>方式</t>
    <rPh sb="0" eb="2">
      <t>ホウシキ</t>
    </rPh>
    <phoneticPr fontId="2"/>
  </si>
  <si>
    <t>基数</t>
    <rPh sb="0" eb="2">
      <t>キスウ</t>
    </rPh>
    <phoneticPr fontId="2"/>
  </si>
  <si>
    <t>建設費目</t>
    <rPh sb="0" eb="2">
      <t>ケンセツ</t>
    </rPh>
    <rPh sb="2" eb="3">
      <t>ヒ</t>
    </rPh>
    <rPh sb="3" eb="4">
      <t>モク</t>
    </rPh>
    <phoneticPr fontId="2"/>
  </si>
  <si>
    <t>算定方法</t>
    <rPh sb="0" eb="2">
      <t>サンテイ</t>
    </rPh>
    <rPh sb="2" eb="4">
      <t>ホウホウ</t>
    </rPh>
    <phoneticPr fontId="2"/>
  </si>
  <si>
    <t>費用（年価）</t>
    <rPh sb="0" eb="2">
      <t>ヒヨウ</t>
    </rPh>
    <rPh sb="3" eb="4">
      <t>ネン</t>
    </rPh>
    <rPh sb="4" eb="5">
      <t>アタイ</t>
    </rPh>
    <phoneticPr fontId="2"/>
  </si>
  <si>
    <t>費用</t>
    <rPh sb="0" eb="2">
      <t>ヒヨウ</t>
    </rPh>
    <phoneticPr fontId="2"/>
  </si>
  <si>
    <t>残存割合</t>
    <rPh sb="0" eb="2">
      <t>ザンゾン</t>
    </rPh>
    <rPh sb="2" eb="4">
      <t>ワリアイ</t>
    </rPh>
    <phoneticPr fontId="7"/>
  </si>
  <si>
    <t>利子率</t>
    <rPh sb="0" eb="2">
      <t>リシ</t>
    </rPh>
    <rPh sb="2" eb="3">
      <t>リツ</t>
    </rPh>
    <phoneticPr fontId="7"/>
  </si>
  <si>
    <t>耐用年数</t>
    <rPh sb="0" eb="2">
      <t>タイヨウ</t>
    </rPh>
    <rPh sb="2" eb="4">
      <t>ネンスウ</t>
    </rPh>
    <phoneticPr fontId="7"/>
  </si>
  <si>
    <t>汚泥濃縮設備</t>
    <rPh sb="0" eb="2">
      <t>オデイ</t>
    </rPh>
    <rPh sb="2" eb="4">
      <t>ノウシュク</t>
    </rPh>
    <rPh sb="4" eb="6">
      <t>セツビ</t>
    </rPh>
    <phoneticPr fontId="2"/>
  </si>
  <si>
    <t>重力</t>
    <rPh sb="0" eb="2">
      <t>ジュウリョク</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</si>
  <si>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/日</t>
    </r>
    <rPh sb="3" eb="4">
      <t>ニチ</t>
    </rPh>
    <phoneticPr fontId="2"/>
  </si>
  <si>
    <r>
      <t>Q：投入汚泥量[1%濃度換算値]（m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トウニュウ</t>
    </rPh>
    <rPh sb="4" eb="6">
      <t>オデイ</t>
    </rPh>
    <rPh sb="6" eb="7">
      <t>リョウ</t>
    </rPh>
    <rPh sb="10" eb="12">
      <t>ノウド</t>
    </rPh>
    <rPh sb="12" eb="14">
      <t>カンザン</t>
    </rPh>
    <rPh sb="14" eb="15">
      <t>アタイ</t>
    </rPh>
    <rPh sb="20" eb="21">
      <t>ニチ</t>
    </rPh>
    <phoneticPr fontId="2"/>
  </si>
  <si>
    <r>
      <t>Y=22.7×Q</t>
    </r>
    <r>
      <rPr>
        <vertAlign val="superscript"/>
        <sz val="11"/>
        <color theme="1"/>
        <rFont val="ＭＳ Ｐゴシック"/>
        <family val="3"/>
        <charset val="128"/>
        <scheme val="minor"/>
      </rPr>
      <t>0.444</t>
    </r>
    <phoneticPr fontId="2"/>
  </si>
  <si>
    <t>汚泥処理電気設備</t>
    <rPh sb="0" eb="2">
      <t>オデイ</t>
    </rPh>
    <rPh sb="2" eb="4">
      <t>ショリ</t>
    </rPh>
    <rPh sb="4" eb="6">
      <t>デンキ</t>
    </rPh>
    <rPh sb="6" eb="8">
      <t>セツビ</t>
    </rPh>
    <phoneticPr fontId="2"/>
  </si>
  <si>
    <r>
      <t>Q：濃縮汚泥量[1%濃度換算値]（m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ノウシュク</t>
    </rPh>
    <rPh sb="4" eb="6">
      <t>オデイ</t>
    </rPh>
    <rPh sb="6" eb="7">
      <t>リョウ</t>
    </rPh>
    <rPh sb="10" eb="12">
      <t>ノウド</t>
    </rPh>
    <rPh sb="12" eb="14">
      <t>カンザン</t>
    </rPh>
    <rPh sb="14" eb="15">
      <t>アタイ</t>
    </rPh>
    <rPh sb="20" eb="21">
      <t>ニチ</t>
    </rPh>
    <phoneticPr fontId="2"/>
  </si>
  <si>
    <r>
      <t>Ｑ：混合槽容量（m</t>
    </r>
    <r>
      <rPr>
        <vertAlign val="superscript"/>
        <sz val="11"/>
        <color theme="1"/>
        <rFont val="ＭＳ Ｐゴシック"/>
        <family val="3"/>
        <charset val="128"/>
        <scheme val="minor"/>
      </rPr>
      <t>3</t>
    </r>
    <r>
      <rPr>
        <sz val="11"/>
        <color theme="1"/>
        <rFont val="ＭＳ Ｐゴシック"/>
        <family val="3"/>
        <charset val="128"/>
        <scheme val="minor"/>
      </rPr>
      <t>）</t>
    </r>
    <rPh sb="2" eb="4">
      <t>コンゴウ</t>
    </rPh>
    <rPh sb="4" eb="5">
      <t>ソウ</t>
    </rPh>
    <rPh sb="5" eb="7">
      <t>ヨウリョウ</t>
    </rPh>
    <phoneticPr fontId="2"/>
  </si>
  <si>
    <t>鋼板製</t>
    <rPh sb="0" eb="2">
      <t>コウハン</t>
    </rPh>
    <rPh sb="2" eb="3">
      <t>セイ</t>
    </rPh>
    <phoneticPr fontId="2"/>
  </si>
  <si>
    <r>
      <t>Q：濃縮汚泥量[1%濃度換算値]（m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ノウシュク</t>
    </rPh>
    <rPh sb="4" eb="6">
      <t>オデイ</t>
    </rPh>
    <rPh sb="6" eb="7">
      <t>リョウ</t>
    </rPh>
    <rPh sb="10" eb="12">
      <t>ノウド</t>
    </rPh>
    <rPh sb="12" eb="14">
      <t>カンザン</t>
    </rPh>
    <rPh sb="14" eb="15">
      <t>アタイ</t>
    </rPh>
    <phoneticPr fontId="2"/>
  </si>
  <si>
    <r>
      <t>Ｑ：貯留容量（m</t>
    </r>
    <r>
      <rPr>
        <vertAlign val="superscript"/>
        <sz val="11"/>
        <color theme="1"/>
        <rFont val="ＭＳ Ｐゴシック"/>
        <family val="3"/>
        <charset val="128"/>
        <scheme val="minor"/>
      </rPr>
      <t>3</t>
    </r>
    <r>
      <rPr>
        <sz val="11"/>
        <color theme="1"/>
        <rFont val="ＭＳ Ｐゴシック"/>
        <family val="3"/>
        <charset val="128"/>
        <scheme val="minor"/>
      </rPr>
      <t>）</t>
    </r>
    <rPh sb="2" eb="4">
      <t>チョリュウ</t>
    </rPh>
    <rPh sb="4" eb="6">
      <t>ヨウリョウ</t>
    </rPh>
    <phoneticPr fontId="2"/>
  </si>
  <si>
    <r>
      <t>Ｑ：処理能力量（m</t>
    </r>
    <r>
      <rPr>
        <vertAlign val="superscript"/>
        <sz val="11"/>
        <color theme="1"/>
        <rFont val="ＭＳ Ｐゴシック"/>
        <family val="3"/>
        <charset val="128"/>
        <scheme val="minor"/>
      </rPr>
      <t>3</t>
    </r>
    <r>
      <rPr>
        <sz val="11"/>
        <color theme="1"/>
        <rFont val="ＭＳ Ｐゴシック"/>
        <family val="3"/>
        <charset val="128"/>
        <scheme val="minor"/>
      </rPr>
      <t>/h）</t>
    </r>
    <rPh sb="2" eb="4">
      <t>ショリ</t>
    </rPh>
    <rPh sb="4" eb="6">
      <t>ノウリョク</t>
    </rPh>
    <rPh sb="6" eb="7">
      <t>リョウ</t>
    </rPh>
    <phoneticPr fontId="2"/>
  </si>
  <si>
    <t>Ｑ：施設規模（t-wet/日）</t>
    <rPh sb="2" eb="4">
      <t>シセツ</t>
    </rPh>
    <rPh sb="4" eb="6">
      <t>キボ</t>
    </rPh>
    <rPh sb="13" eb="14">
      <t>ニチ</t>
    </rPh>
    <phoneticPr fontId="2"/>
  </si>
  <si>
    <t>し尿等前処理設備</t>
    <rPh sb="1" eb="2">
      <t>ニョウ</t>
    </rPh>
    <rPh sb="2" eb="3">
      <t>トウ</t>
    </rPh>
    <rPh sb="3" eb="4">
      <t>マエ</t>
    </rPh>
    <rPh sb="4" eb="6">
      <t>ショリ</t>
    </rPh>
    <rPh sb="6" eb="8">
      <t>セツビ</t>
    </rPh>
    <phoneticPr fontId="2"/>
  </si>
  <si>
    <t>kｌ/日</t>
    <rPh sb="3" eb="4">
      <t>ニチ</t>
    </rPh>
    <phoneticPr fontId="2"/>
  </si>
  <si>
    <t>Q(kl/日) ≦ 40</t>
    <rPh sb="5" eb="6">
      <t>ニチ</t>
    </rPh>
    <phoneticPr fontId="2"/>
  </si>
  <si>
    <t>生ごみ前処理設備</t>
    <rPh sb="0" eb="1">
      <t>ナマ</t>
    </rPh>
    <rPh sb="3" eb="6">
      <t>マエショリ</t>
    </rPh>
    <rPh sb="6" eb="8">
      <t>セツビ</t>
    </rPh>
    <phoneticPr fontId="2"/>
  </si>
  <si>
    <t>Ｑ：生ごみ搬入量（t-wet/日）</t>
  </si>
  <si>
    <t>小計</t>
    <rPh sb="0" eb="1">
      <t>ショウ</t>
    </rPh>
    <rPh sb="1" eb="2">
      <t>ケイ</t>
    </rPh>
    <phoneticPr fontId="2"/>
  </si>
  <si>
    <t>維持管理</t>
    <rPh sb="0" eb="2">
      <t>イジ</t>
    </rPh>
    <rPh sb="2" eb="4">
      <t>カンリ</t>
    </rPh>
    <phoneticPr fontId="2"/>
  </si>
  <si>
    <t>運転経費項目</t>
    <rPh sb="0" eb="2">
      <t>ウンテン</t>
    </rPh>
    <rPh sb="2" eb="4">
      <t>ケイヒ</t>
    </rPh>
    <rPh sb="3" eb="4">
      <t>ヒ</t>
    </rPh>
    <rPh sb="4" eb="6">
      <t>コウモク</t>
    </rPh>
    <rPh sb="5" eb="6">
      <t>モク</t>
    </rPh>
    <phoneticPr fontId="2"/>
  </si>
  <si>
    <t>電力+補修費</t>
    <rPh sb="0" eb="2">
      <t>デンリョク</t>
    </rPh>
    <rPh sb="3" eb="5">
      <t>ホシュウ</t>
    </rPh>
    <rPh sb="5" eb="6">
      <t>ヒ</t>
    </rPh>
    <phoneticPr fontId="2"/>
  </si>
  <si>
    <r>
      <t>Q:投入汚泥量[1%濃度換算値]（m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トウニュウ</t>
    </rPh>
    <rPh sb="4" eb="6">
      <t>オデイ</t>
    </rPh>
    <rPh sb="6" eb="7">
      <t>リョウ</t>
    </rPh>
    <rPh sb="10" eb="12">
      <t>ノウド</t>
    </rPh>
    <rPh sb="12" eb="14">
      <t>カンザン</t>
    </rPh>
    <rPh sb="14" eb="15">
      <t>アタイ</t>
    </rPh>
    <rPh sb="20" eb="21">
      <t>ニチ</t>
    </rPh>
    <phoneticPr fontId="2"/>
  </si>
  <si>
    <t>維持管理費</t>
    <rPh sb="0" eb="2">
      <t>イジ</t>
    </rPh>
    <rPh sb="2" eb="5">
      <t>カンリヒ</t>
    </rPh>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</si>
  <si>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/年</t>
    </r>
    <rPh sb="3" eb="4">
      <t>ネン</t>
    </rPh>
    <phoneticPr fontId="2"/>
  </si>
  <si>
    <r>
      <t>Ｑ：年間汚泥処理量[1%濃度換算値）（m</t>
    </r>
    <r>
      <rPr>
        <vertAlign val="superscript"/>
        <sz val="11"/>
        <color theme="1"/>
        <rFont val="ＭＳ Ｐゴシック"/>
        <family val="3"/>
        <charset val="128"/>
        <scheme val="minor"/>
      </rPr>
      <t>3</t>
    </r>
    <r>
      <rPr>
        <sz val="11"/>
        <color theme="1"/>
        <rFont val="ＭＳ Ｐゴシック"/>
        <family val="3"/>
        <charset val="128"/>
        <scheme val="minor"/>
      </rPr>
      <t>/年）</t>
    </r>
    <rPh sb="2" eb="4">
      <t>ネンカン</t>
    </rPh>
    <rPh sb="4" eb="6">
      <t>オデイ</t>
    </rPh>
    <rPh sb="6" eb="8">
      <t>ショリ</t>
    </rPh>
    <rPh sb="8" eb="9">
      <t>リョウ</t>
    </rPh>
    <rPh sb="12" eb="14">
      <t>ノウド</t>
    </rPh>
    <rPh sb="14" eb="16">
      <t>カンザン</t>
    </rPh>
    <rPh sb="16" eb="17">
      <t>アタイ</t>
    </rPh>
    <rPh sb="22" eb="23">
      <t>ネン</t>
    </rPh>
    <phoneticPr fontId="2"/>
  </si>
  <si>
    <t>補修+人件費</t>
    <rPh sb="0" eb="2">
      <t>ホシュウ</t>
    </rPh>
    <rPh sb="3" eb="6">
      <t>ジンケンヒ</t>
    </rPh>
    <phoneticPr fontId="2"/>
  </si>
  <si>
    <t>Ｑ：年間処理脱水汚泥量（t-wet/年）</t>
    <rPh sb="2" eb="4">
      <t>ネンカン</t>
    </rPh>
    <rPh sb="4" eb="6">
      <t>ショリ</t>
    </rPh>
    <rPh sb="6" eb="8">
      <t>ダッスイ</t>
    </rPh>
    <rPh sb="8" eb="10">
      <t>オデイ</t>
    </rPh>
    <rPh sb="10" eb="11">
      <t>リョウ</t>
    </rPh>
    <rPh sb="18" eb="19">
      <t>ネン</t>
    </rPh>
    <phoneticPr fontId="2"/>
  </si>
  <si>
    <t>Q：し尿等処理量（kl/日）　（Q（kl/日）≦200）</t>
    <rPh sb="3" eb="4">
      <t>ニョウ</t>
    </rPh>
    <rPh sb="4" eb="5">
      <t>トウ</t>
    </rPh>
    <rPh sb="5" eb="7">
      <t>ショリ</t>
    </rPh>
    <rPh sb="7" eb="8">
      <t>リョウ</t>
    </rPh>
    <rPh sb="12" eb="13">
      <t>ニチ</t>
    </rPh>
    <rPh sb="21" eb="22">
      <t>ニチ</t>
    </rPh>
    <phoneticPr fontId="2"/>
  </si>
  <si>
    <t>Ｑ：生ごみ搬入量（t-wet/日）</t>
    <rPh sb="2" eb="3">
      <t>ナマ</t>
    </rPh>
    <rPh sb="5" eb="7">
      <t>ハンニュウ</t>
    </rPh>
    <rPh sb="7" eb="8">
      <t>リョウ</t>
    </rPh>
    <rPh sb="15" eb="16">
      <t>ニチ</t>
    </rPh>
    <phoneticPr fontId="2"/>
  </si>
  <si>
    <t>単価×Q</t>
    <rPh sb="0" eb="2">
      <t>タンカ</t>
    </rPh>
    <phoneticPr fontId="2"/>
  </si>
  <si>
    <t>灯油単価69円/Ｌ　H27年度石川県実施設計労務・資材単価</t>
    <rPh sb="0" eb="2">
      <t>トウユ</t>
    </rPh>
    <rPh sb="2" eb="4">
      <t>タンカ</t>
    </rPh>
    <rPh sb="6" eb="7">
      <t>エン</t>
    </rPh>
    <rPh sb="13" eb="15">
      <t>ネンド</t>
    </rPh>
    <rPh sb="15" eb="18">
      <t>イシカワケン</t>
    </rPh>
    <rPh sb="18" eb="20">
      <t>ジッシ</t>
    </rPh>
    <rPh sb="20" eb="22">
      <t>セッケイ</t>
    </rPh>
    <rPh sb="22" eb="24">
      <t>ロウム</t>
    </rPh>
    <rPh sb="25" eb="27">
      <t>シザイ</t>
    </rPh>
    <rPh sb="27" eb="29">
      <t>タンカ</t>
    </rPh>
    <phoneticPr fontId="2"/>
  </si>
  <si>
    <t>項目</t>
    <rPh sb="0" eb="1">
      <t>ケイヒ</t>
    </rPh>
    <rPh sb="1" eb="2">
      <t>モク</t>
    </rPh>
    <phoneticPr fontId="2"/>
  </si>
  <si>
    <t>◆収集運搬費</t>
    <rPh sb="1" eb="3">
      <t>シュウシュウ</t>
    </rPh>
    <rPh sb="3" eb="5">
      <t>ウンパン</t>
    </rPh>
    <rPh sb="5" eb="6">
      <t>ヒ</t>
    </rPh>
    <phoneticPr fontId="2"/>
  </si>
  <si>
    <t>発生元</t>
    <rPh sb="0" eb="2">
      <t>ハッセイ</t>
    </rPh>
    <rPh sb="2" eb="3">
      <t>モト</t>
    </rPh>
    <phoneticPr fontId="2"/>
  </si>
  <si>
    <t>算定方法</t>
    <rPh sb="0" eb="2">
      <t>サンテイ</t>
    </rPh>
    <rPh sb="2" eb="4">
      <t>ホウホウ</t>
    </rPh>
    <phoneticPr fontId="7"/>
  </si>
  <si>
    <t>費用</t>
    <rPh sb="0" eb="1">
      <t>ヒ</t>
    </rPh>
    <rPh sb="1" eb="2">
      <t>ヨウ</t>
    </rPh>
    <phoneticPr fontId="7"/>
  </si>
  <si>
    <t>単価</t>
    <rPh sb="0" eb="2">
      <t>タンカ</t>
    </rPh>
    <phoneticPr fontId="7"/>
  </si>
  <si>
    <t>脱水汚泥</t>
    <rPh sb="0" eb="2">
      <t>ダッスイ</t>
    </rPh>
    <rPh sb="2" eb="4">
      <t>オデイ</t>
    </rPh>
    <phoneticPr fontId="2"/>
  </si>
  <si>
    <t>円/kl</t>
    <rPh sb="0" eb="1">
      <t>エン</t>
    </rPh>
    <phoneticPr fontId="2"/>
  </si>
  <si>
    <t>最終処分費</t>
    <rPh sb="0" eb="2">
      <t>サイシュウ</t>
    </rPh>
    <rPh sb="2" eb="4">
      <t>ショブン</t>
    </rPh>
    <rPh sb="4" eb="5">
      <t>ヒ</t>
    </rPh>
    <phoneticPr fontId="2"/>
  </si>
  <si>
    <t>■算定結果</t>
    <rPh sb="1" eb="3">
      <t>サンテイ</t>
    </rPh>
    <rPh sb="3" eb="5">
      <t>ケッカ</t>
    </rPh>
    <phoneticPr fontId="2"/>
  </si>
  <si>
    <t>下水</t>
    <rPh sb="0" eb="2">
      <t>ゲスイ</t>
    </rPh>
    <phoneticPr fontId="2"/>
  </si>
  <si>
    <t>建設費（初期投資・更新費）</t>
    <rPh sb="0" eb="2">
      <t>ケンセツ</t>
    </rPh>
    <rPh sb="2" eb="3">
      <t>ヒ</t>
    </rPh>
    <rPh sb="4" eb="6">
      <t>ショキ</t>
    </rPh>
    <rPh sb="6" eb="8">
      <t>トウシ</t>
    </rPh>
    <rPh sb="9" eb="11">
      <t>コウシン</t>
    </rPh>
    <rPh sb="11" eb="12">
      <t>ヒ</t>
    </rPh>
    <phoneticPr fontId="2"/>
  </si>
  <si>
    <t>建設費（年価）</t>
    <rPh sb="0" eb="2">
      <t>ケンセツ</t>
    </rPh>
    <rPh sb="2" eb="3">
      <t>ヒ</t>
    </rPh>
    <rPh sb="4" eb="5">
      <t>ネン</t>
    </rPh>
    <rPh sb="5" eb="6">
      <t>カ</t>
    </rPh>
    <phoneticPr fontId="2"/>
  </si>
  <si>
    <t>収集運搬費</t>
  </si>
  <si>
    <t>最終処分費</t>
  </si>
  <si>
    <t>総事業費（年価）</t>
    <rPh sb="0" eb="4">
      <t>ソウジギョウヒ</t>
    </rPh>
    <rPh sb="5" eb="6">
      <t>ネン</t>
    </rPh>
    <rPh sb="6" eb="7">
      <t>カ</t>
    </rPh>
    <phoneticPr fontId="2"/>
  </si>
  <si>
    <t>※汚泥濃縮設備及び脱水設備は、更新費として土木・建築を除いた費用を計上した。</t>
    <rPh sb="1" eb="3">
      <t>オデイ</t>
    </rPh>
    <rPh sb="3" eb="5">
      <t>ノウシュク</t>
    </rPh>
    <rPh sb="5" eb="7">
      <t>セツビ</t>
    </rPh>
    <rPh sb="7" eb="8">
      <t>オヨ</t>
    </rPh>
    <rPh sb="9" eb="11">
      <t>ダッスイ</t>
    </rPh>
    <rPh sb="11" eb="13">
      <t>セツビ</t>
    </rPh>
    <rPh sb="15" eb="17">
      <t>コウシン</t>
    </rPh>
    <rPh sb="17" eb="18">
      <t>ヒ</t>
    </rPh>
    <rPh sb="21" eb="23">
      <t>ドボク</t>
    </rPh>
    <rPh sb="24" eb="26">
      <t>ケンチク</t>
    </rPh>
    <rPh sb="27" eb="28">
      <t>ノゾ</t>
    </rPh>
    <rPh sb="30" eb="32">
      <t>ヒヨウ</t>
    </rPh>
    <rPh sb="33" eb="35">
      <t>ケイジョウ</t>
    </rPh>
    <phoneticPr fontId="2"/>
  </si>
  <si>
    <r>
      <t>Y=0.030×Q</t>
    </r>
    <r>
      <rPr>
        <vertAlign val="superscript"/>
        <sz val="11"/>
        <color theme="1"/>
        <rFont val="ＭＳ Ｐゴシック"/>
        <family val="3"/>
        <charset val="128"/>
        <scheme val="minor"/>
      </rPr>
      <t>0.628</t>
    </r>
    <phoneticPr fontId="2"/>
  </si>
  <si>
    <t>Ｑ</t>
    <phoneticPr fontId="7"/>
  </si>
  <si>
    <r>
      <t>Y=17.8×Q</t>
    </r>
    <r>
      <rPr>
        <vertAlign val="superscript"/>
        <sz val="11"/>
        <color theme="1"/>
        <rFont val="ＭＳ Ｐゴシック"/>
        <family val="3"/>
        <charset val="128"/>
        <scheme val="minor"/>
      </rPr>
      <t>0.464</t>
    </r>
    <phoneticPr fontId="2"/>
  </si>
  <si>
    <r>
      <t>Y=1.24×Q</t>
    </r>
    <r>
      <rPr>
        <vertAlign val="superscript"/>
        <sz val="11"/>
        <color theme="1"/>
        <rFont val="ＭＳ Ｐゴシック"/>
        <family val="3"/>
        <charset val="128"/>
        <scheme val="minor"/>
      </rPr>
      <t>0.598</t>
    </r>
    <phoneticPr fontId="2"/>
  </si>
  <si>
    <r>
      <t>Y=1.31×Q</t>
    </r>
    <r>
      <rPr>
        <vertAlign val="superscript"/>
        <sz val="11"/>
        <color theme="1"/>
        <rFont val="ＭＳ Ｐゴシック"/>
        <family val="3"/>
        <charset val="128"/>
        <scheme val="minor"/>
      </rPr>
      <t>0.611</t>
    </r>
    <phoneticPr fontId="2"/>
  </si>
  <si>
    <r>
      <t>Y=43.4×Q</t>
    </r>
    <r>
      <rPr>
        <vertAlign val="superscript"/>
        <sz val="11"/>
        <color theme="1"/>
        <rFont val="ＭＳ Ｐゴシック"/>
        <family val="3"/>
        <charset val="128"/>
        <scheme val="minor"/>
      </rPr>
      <t>0.373</t>
    </r>
    <phoneticPr fontId="2"/>
  </si>
  <si>
    <r>
      <t>Y＝94.6×Q</t>
    </r>
    <r>
      <rPr>
        <vertAlign val="superscript"/>
        <sz val="11"/>
        <color theme="1"/>
        <rFont val="ＭＳ Ｐゴシック"/>
        <family val="3"/>
        <charset val="128"/>
        <scheme val="minor"/>
      </rPr>
      <t>0.430</t>
    </r>
    <phoneticPr fontId="2"/>
  </si>
  <si>
    <r>
      <t>Y＝31.9×Q</t>
    </r>
    <r>
      <rPr>
        <vertAlign val="superscript"/>
        <sz val="11"/>
        <color theme="1"/>
        <rFont val="ＭＳ Ｐゴシック"/>
        <family val="3"/>
        <charset val="128"/>
        <scheme val="minor"/>
      </rPr>
      <t>0.971</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</si>
  <si>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/h</t>
    </r>
    <phoneticPr fontId="2"/>
  </si>
  <si>
    <r>
      <t>Y=0.878×Q</t>
    </r>
    <r>
      <rPr>
        <vertAlign val="superscript"/>
        <sz val="11"/>
        <color theme="1"/>
        <rFont val="ＭＳ Ｐゴシック"/>
        <family val="3"/>
        <charset val="128"/>
        <scheme val="minor"/>
      </rPr>
      <t>0.761</t>
    </r>
    <phoneticPr fontId="2"/>
  </si>
  <si>
    <r>
      <t>Y=10.4×Q</t>
    </r>
    <r>
      <rPr>
        <vertAlign val="superscript"/>
        <sz val="11"/>
        <color theme="1"/>
        <rFont val="ＭＳ Ｐゴシック"/>
        <family val="3"/>
        <charset val="128"/>
        <scheme val="minor"/>
      </rPr>
      <t>0.437</t>
    </r>
    <phoneticPr fontId="2"/>
  </si>
  <si>
    <t>ごみ処理施設の規模縮減分</t>
    <phoneticPr fontId="2"/>
  </si>
  <si>
    <t>処分物</t>
    <rPh sb="0" eb="2">
      <t>ショブン</t>
    </rPh>
    <rPh sb="2" eb="3">
      <t>ブツ</t>
    </rPh>
    <phoneticPr fontId="2"/>
  </si>
  <si>
    <t>運搬物</t>
    <rPh sb="0" eb="2">
      <t>ウンパン</t>
    </rPh>
    <rPh sb="2" eb="3">
      <t>ブツ</t>
    </rPh>
    <phoneticPr fontId="2"/>
  </si>
  <si>
    <t>Q：生ごみ処理量（t-wet/日）</t>
    <rPh sb="2" eb="3">
      <t>ナマ</t>
    </rPh>
    <rPh sb="5" eb="7">
      <t>ショリ</t>
    </rPh>
    <rPh sb="7" eb="8">
      <t>リョウ</t>
    </rPh>
    <rPh sb="15" eb="16">
      <t>ニチ</t>
    </rPh>
    <phoneticPr fontId="2"/>
  </si>
  <si>
    <r>
      <t>Y=-0.087Q</t>
    </r>
    <r>
      <rPr>
        <vertAlign val="superscript"/>
        <sz val="11"/>
        <color theme="1"/>
        <rFont val="ＭＳ Ｐゴシック"/>
        <family val="3"/>
        <charset val="128"/>
        <scheme val="minor"/>
      </rPr>
      <t>2</t>
    </r>
    <r>
      <rPr>
        <sz val="11"/>
        <color theme="1"/>
        <rFont val="ＭＳ Ｐゴシック"/>
        <family val="3"/>
        <charset val="128"/>
        <scheme val="minor"/>
      </rPr>
      <t>+59.53Q+258</t>
    </r>
    <phoneticPr fontId="2"/>
  </si>
  <si>
    <t>規模削減分</t>
    <rPh sb="0" eb="2">
      <t>キボ</t>
    </rPh>
    <rPh sb="2" eb="4">
      <t>サクゲン</t>
    </rPh>
    <rPh sb="4" eb="5">
      <t>ブン</t>
    </rPh>
    <phoneticPr fontId="2"/>
  </si>
  <si>
    <t>◆ごみ処理施設</t>
    <rPh sb="3" eb="5">
      <t>ショリ</t>
    </rPh>
    <rPh sb="5" eb="7">
      <t>シセツ</t>
    </rPh>
    <phoneticPr fontId="2"/>
  </si>
  <si>
    <t>維持管理費</t>
    <phoneticPr fontId="2"/>
  </si>
  <si>
    <t>Q：年間処理脱水汚泥量[wet-t/日]</t>
    <rPh sb="2" eb="4">
      <t>ネンカン</t>
    </rPh>
    <rPh sb="4" eb="6">
      <t>ショリ</t>
    </rPh>
    <rPh sb="6" eb="8">
      <t>ダッスイ</t>
    </rPh>
    <rPh sb="8" eb="10">
      <t>オデイ</t>
    </rPh>
    <rPh sb="10" eb="11">
      <t>リョウ</t>
    </rPh>
    <rPh sb="18" eb="19">
      <t>ニチ</t>
    </rPh>
    <phoneticPr fontId="2"/>
  </si>
  <si>
    <t>焼却設備</t>
    <rPh sb="0" eb="2">
      <t>ショウキャク</t>
    </rPh>
    <rPh sb="2" eb="4">
      <t>セツビ</t>
    </rPh>
    <phoneticPr fontId="2"/>
  </si>
  <si>
    <r>
      <t>Y=0.0796×Q</t>
    </r>
    <r>
      <rPr>
        <vertAlign val="superscript"/>
        <sz val="11"/>
        <color theme="1"/>
        <rFont val="ＭＳ Ｐゴシック"/>
        <family val="3"/>
        <charset val="128"/>
        <scheme val="minor"/>
      </rPr>
      <t>0.761</t>
    </r>
    <phoneticPr fontId="2"/>
  </si>
  <si>
    <r>
      <t>Y=0.283×Q</t>
    </r>
    <r>
      <rPr>
        <vertAlign val="superscript"/>
        <sz val="11"/>
        <color theme="1"/>
        <rFont val="ＭＳ Ｐゴシック"/>
        <family val="3"/>
        <charset val="128"/>
        <scheme val="minor"/>
      </rPr>
      <t>0.302</t>
    </r>
    <phoneticPr fontId="2"/>
  </si>
  <si>
    <r>
      <t>Y＝0.171×Q</t>
    </r>
    <r>
      <rPr>
        <vertAlign val="superscript"/>
        <sz val="11"/>
        <color theme="1"/>
        <rFont val="ＭＳ Ｐゴシック"/>
        <family val="3"/>
        <charset val="128"/>
        <scheme val="minor"/>
      </rPr>
      <t>0.390</t>
    </r>
    <phoneticPr fontId="2"/>
  </si>
  <si>
    <r>
      <t>Y=136.1×Q</t>
    </r>
    <r>
      <rPr>
        <vertAlign val="superscript"/>
        <sz val="11"/>
        <color theme="1"/>
        <rFont val="ＭＳ Ｐゴシック"/>
        <family val="3"/>
        <charset val="128"/>
        <scheme val="minor"/>
      </rPr>
      <t>0.380</t>
    </r>
    <phoneticPr fontId="2"/>
  </si>
  <si>
    <r>
      <t>Y=72.6×Q</t>
    </r>
    <r>
      <rPr>
        <vertAlign val="superscript"/>
        <sz val="11"/>
        <color theme="1"/>
        <rFont val="ＭＳ Ｐゴシック"/>
        <family val="3"/>
        <charset val="128"/>
        <scheme val="minor"/>
      </rPr>
      <t>0.539</t>
    </r>
    <phoneticPr fontId="2"/>
  </si>
  <si>
    <t>Q：施設規模[wet-t/日]</t>
    <rPh sb="2" eb="4">
      <t>シセツ</t>
    </rPh>
    <rPh sb="4" eb="6">
      <t>キボ</t>
    </rPh>
    <rPh sb="13" eb="14">
      <t>ニチ</t>
    </rPh>
    <phoneticPr fontId="2"/>
  </si>
  <si>
    <r>
      <t>Y=188.8×Q</t>
    </r>
    <r>
      <rPr>
        <vertAlign val="superscript"/>
        <sz val="11"/>
        <color theme="1"/>
        <rFont val="ＭＳ Ｐゴシック"/>
        <family val="3"/>
        <charset val="128"/>
        <scheme val="minor"/>
      </rPr>
      <t>0.597</t>
    </r>
    <phoneticPr fontId="2"/>
  </si>
  <si>
    <r>
      <t>Y＝0.836×Q</t>
    </r>
    <r>
      <rPr>
        <vertAlign val="superscript"/>
        <sz val="11"/>
        <color theme="1"/>
        <rFont val="ＭＳ Ｐゴシック"/>
        <family val="3"/>
        <charset val="128"/>
        <scheme val="minor"/>
      </rPr>
      <t>0.535</t>
    </r>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</si>
  <si>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</si>
  <si>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</si>
  <si>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</si>
  <si>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</si>
  <si>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</si>
  <si>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</si>
  <si>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</si>
  <si>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</si>
  <si>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</si>
  <si>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濃縮設備</t>
    <rPh sb="0" eb="2">
      <t>ノウシュク</t>
    </rPh>
    <rPh sb="2" eb="4">
      <t>セツビ</t>
    </rPh>
    <phoneticPr fontId="2"/>
  </si>
  <si>
    <t>ｔ/日</t>
    <rPh sb="2" eb="3">
      <t>ニチ</t>
    </rPh>
    <phoneticPr fontId="2"/>
  </si>
  <si>
    <t>　物質収支（日平均）</t>
    <rPh sb="1" eb="3">
      <t>ブッシツ</t>
    </rPh>
    <rPh sb="3" eb="5">
      <t>シュウシ</t>
    </rPh>
    <rPh sb="6" eb="7">
      <t>ニチ</t>
    </rPh>
    <rPh sb="7" eb="9">
      <t>ヘイキン</t>
    </rPh>
    <phoneticPr fontId="2"/>
  </si>
  <si>
    <t>　物質収支（日最大）</t>
    <rPh sb="1" eb="3">
      <t>ブッシツ</t>
    </rPh>
    <rPh sb="3" eb="5">
      <t>シュウシ</t>
    </rPh>
    <rPh sb="6" eb="7">
      <t>ニチ</t>
    </rPh>
    <rPh sb="7" eb="9">
      <t>サイダイ</t>
    </rPh>
    <phoneticPr fontId="2"/>
  </si>
  <si>
    <t>日平均発生量</t>
    <rPh sb="0" eb="1">
      <t>ニチ</t>
    </rPh>
    <rPh sb="1" eb="3">
      <t>ヘイキン</t>
    </rPh>
    <rPh sb="3" eb="5">
      <t>ハッセイ</t>
    </rPh>
    <rPh sb="5" eb="6">
      <t>リョウ</t>
    </rPh>
    <phoneticPr fontId="2"/>
  </si>
  <si>
    <t>日処理量</t>
    <rPh sb="0" eb="1">
      <t>ニチ</t>
    </rPh>
    <rPh sb="1" eb="3">
      <t>ショリ</t>
    </rPh>
    <rPh sb="3" eb="4">
      <t>リョウ</t>
    </rPh>
    <phoneticPr fontId="2"/>
  </si>
  <si>
    <t>年間処理量</t>
    <rPh sb="0" eb="2">
      <t>ネンカン</t>
    </rPh>
    <rPh sb="2" eb="4">
      <t>ショリ</t>
    </rPh>
    <rPh sb="4" eb="5">
      <t>リョウ</t>
    </rPh>
    <phoneticPr fontId="2"/>
  </si>
  <si>
    <t>◆汚泥等の最終処分費</t>
    <rPh sb="1" eb="3">
      <t>オデイ</t>
    </rPh>
    <rPh sb="3" eb="4">
      <t>トウ</t>
    </rPh>
    <rPh sb="5" eb="7">
      <t>サイシュウ</t>
    </rPh>
    <rPh sb="7" eb="9">
      <t>ショブン</t>
    </rPh>
    <rPh sb="9" eb="10">
      <t>ヒ</t>
    </rPh>
    <phoneticPr fontId="2"/>
  </si>
  <si>
    <t>汚泥活用研究会　アンケート結果の平均値（H26）</t>
    <rPh sb="0" eb="2">
      <t>オデイ</t>
    </rPh>
    <rPh sb="2" eb="4">
      <t>カツヨウ</t>
    </rPh>
    <rPh sb="4" eb="7">
      <t>ケンキュウカイ</t>
    </rPh>
    <rPh sb="13" eb="15">
      <t>ケッカ</t>
    </rPh>
    <rPh sb="16" eb="19">
      <t>ヘイキンチ</t>
    </rPh>
    <phoneticPr fontId="2"/>
  </si>
  <si>
    <t>⑮</t>
    <phoneticPr fontId="2"/>
  </si>
  <si>
    <t>■集約するその他バイオマスの基本情報を入力してください。</t>
    <rPh sb="1" eb="3">
      <t>シュウヤク</t>
    </rPh>
    <rPh sb="7" eb="8">
      <t>タ</t>
    </rPh>
    <rPh sb="14" eb="16">
      <t>キホン</t>
    </rPh>
    <rPh sb="16" eb="18">
      <t>ジョウホウ</t>
    </rPh>
    <rPh sb="19" eb="21">
      <t>ニュウリョク</t>
    </rPh>
    <phoneticPr fontId="2"/>
  </si>
  <si>
    <t>■集約する下水汚泥の基本情報を入力してください。</t>
    <rPh sb="1" eb="3">
      <t>シュウヤク</t>
    </rPh>
    <rPh sb="5" eb="7">
      <t>ゲスイ</t>
    </rPh>
    <rPh sb="7" eb="9">
      <t>オデイ</t>
    </rPh>
    <rPh sb="10" eb="12">
      <t>キホン</t>
    </rPh>
    <rPh sb="12" eb="14">
      <t>ジョウホウ</t>
    </rPh>
    <rPh sb="15" eb="17">
      <t>ニュウリョク</t>
    </rPh>
    <phoneticPr fontId="2"/>
  </si>
  <si>
    <t>◆し尿処理施設</t>
    <rPh sb="2" eb="3">
      <t>ニョウ</t>
    </rPh>
    <rPh sb="3" eb="5">
      <t>ショリ</t>
    </rPh>
    <rPh sb="5" eb="7">
      <t>シセツ</t>
    </rPh>
    <phoneticPr fontId="2"/>
  </si>
  <si>
    <t>拠点施設のため収集運搬費は発生しない。</t>
    <rPh sb="0" eb="2">
      <t>キョテン</t>
    </rPh>
    <rPh sb="2" eb="4">
      <t>シセツ</t>
    </rPh>
    <rPh sb="7" eb="9">
      <t>シュウシュウ</t>
    </rPh>
    <rPh sb="9" eb="11">
      <t>ウンパン</t>
    </rPh>
    <rPh sb="11" eb="12">
      <t>ヒ</t>
    </rPh>
    <rPh sb="13" eb="15">
      <t>ハッセイ</t>
    </rPh>
    <phoneticPr fontId="2"/>
  </si>
  <si>
    <t>その他バイオマス</t>
    <rPh sb="2" eb="3">
      <t>タ</t>
    </rPh>
    <phoneticPr fontId="2"/>
  </si>
  <si>
    <t>円/t</t>
    <phoneticPr fontId="2"/>
  </si>
  <si>
    <t>下水道</t>
    <rPh sb="0" eb="2">
      <t>ゲスイ</t>
    </rPh>
    <rPh sb="2" eb="3">
      <t>ドウ</t>
    </rPh>
    <phoneticPr fontId="2"/>
  </si>
  <si>
    <t>生ごみ</t>
    <rPh sb="0" eb="1">
      <t>セイ</t>
    </rPh>
    <phoneticPr fontId="2"/>
  </si>
  <si>
    <t>建設更新費</t>
    <rPh sb="0" eb="2">
      <t>ケンセツ</t>
    </rPh>
    <rPh sb="2" eb="4">
      <t>コウシン</t>
    </rPh>
    <rPh sb="4" eb="5">
      <t>ヒ</t>
    </rPh>
    <phoneticPr fontId="2"/>
  </si>
  <si>
    <t>補助無</t>
    <rPh sb="0" eb="2">
      <t>ホジョ</t>
    </rPh>
    <rPh sb="2" eb="3">
      <t>ナシ</t>
    </rPh>
    <phoneticPr fontId="2"/>
  </si>
  <si>
    <t>補助有</t>
    <rPh sb="0" eb="2">
      <t>ホジョ</t>
    </rPh>
    <rPh sb="2" eb="3">
      <t>アリ</t>
    </rPh>
    <phoneticPr fontId="2"/>
  </si>
  <si>
    <t>事業費</t>
    <rPh sb="0" eb="2">
      <t>ジギョウ</t>
    </rPh>
    <rPh sb="2" eb="3">
      <t>ヒ</t>
    </rPh>
    <phoneticPr fontId="2"/>
  </si>
  <si>
    <t>既存処理体系</t>
    <rPh sb="0" eb="2">
      <t>キゾン</t>
    </rPh>
    <rPh sb="2" eb="4">
      <t>ショリ</t>
    </rPh>
    <rPh sb="4" eb="6">
      <t>タイケイ</t>
    </rPh>
    <phoneticPr fontId="2"/>
  </si>
  <si>
    <r>
      <t>Y=0.287×Q</t>
    </r>
    <r>
      <rPr>
        <vertAlign val="superscript"/>
        <sz val="11"/>
        <color theme="1"/>
        <rFont val="ＭＳ Ｐゴシック"/>
        <family val="3"/>
        <charset val="128"/>
        <scheme val="minor"/>
      </rPr>
      <t>0.673</t>
    </r>
    <phoneticPr fontId="2"/>
  </si>
  <si>
    <t>.</t>
    <phoneticPr fontId="2"/>
  </si>
  <si>
    <t>発電機</t>
    <rPh sb="0" eb="3">
      <t>ハツデンキ</t>
    </rPh>
    <phoneticPr fontId="2"/>
  </si>
  <si>
    <t>発電機</t>
    <rPh sb="0" eb="2">
      <t>ハツデン</t>
    </rPh>
    <rPh sb="2" eb="3">
      <t>キ</t>
    </rPh>
    <phoneticPr fontId="2"/>
  </si>
  <si>
    <t>発電量</t>
    <rPh sb="0" eb="2">
      <t>ハツデン</t>
    </rPh>
    <rPh sb="2" eb="3">
      <t>リョウ</t>
    </rPh>
    <phoneticPr fontId="2"/>
  </si>
  <si>
    <t>⑤×K/3.6</t>
    <phoneticPr fontId="2"/>
  </si>
  <si>
    <t>kWh/日</t>
    <rPh sb="4" eb="5">
      <t>ニチ</t>
    </rPh>
    <phoneticPr fontId="2"/>
  </si>
  <si>
    <t>有効発電量</t>
    <rPh sb="0" eb="2">
      <t>ユウコウ</t>
    </rPh>
    <rPh sb="2" eb="4">
      <t>ハツデン</t>
    </rPh>
    <rPh sb="4" eb="5">
      <t>リョウ</t>
    </rPh>
    <phoneticPr fontId="2"/>
  </si>
  <si>
    <t>⑦×L</t>
    <phoneticPr fontId="2"/>
  </si>
  <si>
    <t>廃熱回収量</t>
    <rPh sb="0" eb="2">
      <t>ハイネツ</t>
    </rPh>
    <rPh sb="2" eb="4">
      <t>カイシュウ</t>
    </rPh>
    <rPh sb="4" eb="5">
      <t>リョウ</t>
    </rPh>
    <phoneticPr fontId="2"/>
  </si>
  <si>
    <t>⑤×Ｍ</t>
    <phoneticPr fontId="2"/>
  </si>
  <si>
    <t>⑯</t>
    <phoneticPr fontId="2"/>
  </si>
  <si>
    <t>⑰</t>
    <phoneticPr fontId="2"/>
  </si>
  <si>
    <t>⑱</t>
    <phoneticPr fontId="2"/>
  </si>
  <si>
    <t>⑲</t>
    <phoneticPr fontId="2"/>
  </si>
  <si>
    <t>⑳</t>
    <phoneticPr fontId="2"/>
  </si>
  <si>
    <t>㉑</t>
    <phoneticPr fontId="2"/>
  </si>
  <si>
    <t>㉒</t>
    <phoneticPr fontId="2"/>
  </si>
  <si>
    <t>乾燥機、発電機無し</t>
    <rPh sb="0" eb="2">
      <t>カンソウ</t>
    </rPh>
    <rPh sb="2" eb="3">
      <t>キ</t>
    </rPh>
    <rPh sb="4" eb="6">
      <t>ハツデン</t>
    </rPh>
    <rPh sb="6" eb="7">
      <t>キ</t>
    </rPh>
    <rPh sb="7" eb="8">
      <t>ナ</t>
    </rPh>
    <phoneticPr fontId="2"/>
  </si>
  <si>
    <t>乾燥機有り</t>
    <rPh sb="0" eb="2">
      <t>カンソウ</t>
    </rPh>
    <rPh sb="2" eb="3">
      <t>キ</t>
    </rPh>
    <rPh sb="3" eb="4">
      <t>ア</t>
    </rPh>
    <phoneticPr fontId="2"/>
  </si>
  <si>
    <t>発電機有り</t>
    <rPh sb="0" eb="2">
      <t>ハツデン</t>
    </rPh>
    <rPh sb="2" eb="3">
      <t>キ</t>
    </rPh>
    <rPh sb="3" eb="4">
      <t>ア</t>
    </rPh>
    <phoneticPr fontId="2"/>
  </si>
  <si>
    <t>乾燥機、発電機有り</t>
    <rPh sb="0" eb="2">
      <t>カンソウ</t>
    </rPh>
    <rPh sb="2" eb="3">
      <t>キ</t>
    </rPh>
    <rPh sb="4" eb="6">
      <t>ハツデン</t>
    </rPh>
    <rPh sb="6" eb="7">
      <t>キ</t>
    </rPh>
    <rPh sb="7" eb="8">
      <t>アリ</t>
    </rPh>
    <phoneticPr fontId="2"/>
  </si>
  <si>
    <t>(⑥＋⑱－⑤-⑨)/熱量</t>
    <rPh sb="10" eb="12">
      <t>ネツリョウ</t>
    </rPh>
    <phoneticPr fontId="2"/>
  </si>
  <si>
    <t>F×G</t>
    <phoneticPr fontId="2"/>
  </si>
  <si>
    <t>f×D</t>
    <phoneticPr fontId="2"/>
  </si>
  <si>
    <t>f-①</t>
    <phoneticPr fontId="2"/>
  </si>
  <si>
    <t>d-①</t>
    <phoneticPr fontId="2"/>
  </si>
  <si>
    <t>①×E×1000</t>
    <phoneticPr fontId="2"/>
  </si>
  <si>
    <t>H×④/1000</t>
    <phoneticPr fontId="2"/>
  </si>
  <si>
    <t>c×(I-J)×4.186</t>
    <phoneticPr fontId="2"/>
  </si>
  <si>
    <t>③/⑩</t>
    <phoneticPr fontId="2"/>
  </si>
  <si>
    <t>③/（1-N）</t>
    <phoneticPr fontId="2"/>
  </si>
  <si>
    <t>ｃ-⑫</t>
    <phoneticPr fontId="2"/>
  </si>
  <si>
    <t>⑬/（1-O）</t>
    <phoneticPr fontId="2"/>
  </si>
  <si>
    <t>⑫-⑮</t>
    <phoneticPr fontId="2"/>
  </si>
  <si>
    <t>(100-P)×(⑫-⑯)×4.186+⑰×2,258+(100-P)×⑯×0.3×4.184</t>
    <phoneticPr fontId="2"/>
  </si>
  <si>
    <t>(⑥-⑤)/熱量</t>
    <phoneticPr fontId="2"/>
  </si>
  <si>
    <t>(⑥＋⑱－⑤)/熱量</t>
    <phoneticPr fontId="2"/>
  </si>
  <si>
    <t>(⑥－⑤-⑨)/熱量</t>
    <phoneticPr fontId="2"/>
  </si>
  <si>
    <t>a</t>
    <phoneticPr fontId="2"/>
  </si>
  <si>
    <t>b</t>
    <phoneticPr fontId="2"/>
  </si>
  <si>
    <t>c</t>
    <phoneticPr fontId="2"/>
  </si>
  <si>
    <t>d</t>
    <phoneticPr fontId="2"/>
  </si>
  <si>
    <t>e</t>
    <phoneticPr fontId="2"/>
  </si>
  <si>
    <t>f</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</si>
  <si>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</si>
  <si>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</si>
  <si>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</si>
  <si>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</si>
  <si>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</si>
  <si>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</si>
  <si>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</si>
  <si>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</si>
  <si>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</si>
  <si>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</si>
  <si>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</si>
  <si>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</si>
  <si>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</si>
  <si>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</si>
  <si>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</si>
  <si>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</si>
  <si>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1kwh=3.6MJ</t>
    <phoneticPr fontId="2"/>
  </si>
  <si>
    <t>ガスエンジン</t>
    <phoneticPr fontId="2"/>
  </si>
  <si>
    <t>小型発電機</t>
    <rPh sb="0" eb="2">
      <t>コガタ</t>
    </rPh>
    <rPh sb="2" eb="5">
      <t>ハツデンキ</t>
    </rPh>
    <phoneticPr fontId="2"/>
  </si>
  <si>
    <t>機械・電気</t>
    <rPh sb="0" eb="2">
      <t>キカイ</t>
    </rPh>
    <rPh sb="3" eb="5">
      <t>デンキ</t>
    </rPh>
    <phoneticPr fontId="2"/>
  </si>
  <si>
    <t>Y=0.0296Q+5.9964</t>
    <phoneticPr fontId="2"/>
  </si>
  <si>
    <t>Q：総発電施設規模（kW）</t>
    <rPh sb="2" eb="3">
      <t>ソウ</t>
    </rPh>
    <rPh sb="3" eb="5">
      <t>ハツデン</t>
    </rPh>
    <rPh sb="5" eb="7">
      <t>シセツ</t>
    </rPh>
    <rPh sb="7" eb="9">
      <t>キボ</t>
    </rPh>
    <phoneticPr fontId="2"/>
  </si>
  <si>
    <t>Y=1.3132Q</t>
    <phoneticPr fontId="2"/>
  </si>
  <si>
    <t>Y=0.0263Q+5.8284</t>
    <phoneticPr fontId="2"/>
  </si>
  <si>
    <t>Y=0.0579Q</t>
    <phoneticPr fontId="2"/>
  </si>
  <si>
    <r>
      <t>Y=4.8485Q</t>
    </r>
    <r>
      <rPr>
        <vertAlign val="superscript"/>
        <sz val="11"/>
        <color theme="1"/>
        <rFont val="ＭＳ Ｐゴシック"/>
        <family val="3"/>
        <charset val="128"/>
        <scheme val="minor"/>
      </rPr>
      <t>0.7556</t>
    </r>
    <phoneticPr fontId="2"/>
  </si>
  <si>
    <r>
      <t>Y=0.0407Q</t>
    </r>
    <r>
      <rPr>
        <vertAlign val="superscript"/>
        <sz val="11"/>
        <color theme="1"/>
        <rFont val="ＭＳ Ｐゴシック"/>
        <family val="3"/>
        <charset val="128"/>
        <scheme val="minor"/>
      </rPr>
      <t>1.288</t>
    </r>
    <phoneticPr fontId="2"/>
  </si>
  <si>
    <r>
      <t>Nm</t>
    </r>
    <r>
      <rPr>
        <vertAlign val="superscript"/>
        <sz val="11"/>
        <color theme="1"/>
        <rFont val="ＭＳ Ｐゴシック"/>
        <family val="3"/>
        <charset val="128"/>
        <scheme val="minor"/>
      </rPr>
      <t>3</t>
    </r>
    <r>
      <rPr>
        <sz val="11"/>
        <color theme="1"/>
        <rFont val="ＭＳ Ｐゴシック"/>
        <family val="3"/>
        <charset val="128"/>
        <scheme val="minor"/>
      </rPr>
      <t>/kg-VS</t>
    </r>
    <phoneticPr fontId="2"/>
  </si>
  <si>
    <r>
      <t>Nm</t>
    </r>
    <r>
      <rPr>
        <vertAlign val="superscript"/>
        <sz val="11"/>
        <color theme="1"/>
        <rFont val="ＭＳ Ｐゴシック"/>
        <family val="3"/>
        <charset val="128"/>
        <scheme val="minor"/>
      </rPr>
      <t>3</t>
    </r>
    <r>
      <rPr>
        <sz val="11"/>
        <color theme="1"/>
        <rFont val="ＭＳ Ｐゴシック"/>
        <family val="3"/>
        <charset val="128"/>
        <scheme val="minor"/>
      </rPr>
      <t>/日</t>
    </r>
    <rPh sb="4" eb="5">
      <t>ニチ</t>
    </rPh>
    <phoneticPr fontId="2"/>
  </si>
  <si>
    <t>kW</t>
    <phoneticPr fontId="2"/>
  </si>
  <si>
    <t>マイクロガスタービン</t>
    <phoneticPr fontId="2"/>
  </si>
  <si>
    <r>
      <t>Y=0.919Q</t>
    </r>
    <r>
      <rPr>
        <vertAlign val="superscript"/>
        <sz val="11"/>
        <color theme="1"/>
        <rFont val="ＭＳ Ｐゴシック"/>
        <family val="3"/>
        <charset val="128"/>
        <scheme val="minor"/>
      </rPr>
      <t>0.712</t>
    </r>
    <phoneticPr fontId="2"/>
  </si>
  <si>
    <r>
      <t>Y=0.201Q</t>
    </r>
    <r>
      <rPr>
        <vertAlign val="superscript"/>
        <sz val="11"/>
        <color theme="1"/>
        <rFont val="ＭＳ Ｐゴシック"/>
        <family val="3"/>
        <charset val="128"/>
        <scheme val="minor"/>
      </rPr>
      <t>0.751</t>
    </r>
    <phoneticPr fontId="2"/>
  </si>
  <si>
    <r>
      <t>Y=1.31Q</t>
    </r>
    <r>
      <rPr>
        <vertAlign val="superscript"/>
        <sz val="11"/>
        <color theme="1"/>
        <rFont val="ＭＳ Ｐゴシック"/>
        <family val="3"/>
        <charset val="128"/>
        <scheme val="minor"/>
      </rPr>
      <t>0.699</t>
    </r>
    <phoneticPr fontId="2"/>
  </si>
  <si>
    <r>
      <t>Y=1.01Q</t>
    </r>
    <r>
      <rPr>
        <vertAlign val="superscript"/>
        <sz val="11"/>
        <color theme="1"/>
        <rFont val="ＭＳ Ｐゴシック"/>
        <family val="3"/>
        <charset val="128"/>
        <scheme val="minor"/>
      </rPr>
      <t>0.578</t>
    </r>
    <phoneticPr fontId="2"/>
  </si>
  <si>
    <r>
      <t>Y=0.344Q</t>
    </r>
    <r>
      <rPr>
        <vertAlign val="superscript"/>
        <sz val="11"/>
        <color theme="1"/>
        <rFont val="ＭＳ Ｐゴシック"/>
        <family val="3"/>
        <charset val="128"/>
        <scheme val="minor"/>
      </rPr>
      <t>0.668</t>
    </r>
    <phoneticPr fontId="2"/>
  </si>
  <si>
    <r>
      <t>Y=0.191Q</t>
    </r>
    <r>
      <rPr>
        <vertAlign val="superscript"/>
        <sz val="11"/>
        <color theme="1"/>
        <rFont val="ＭＳ Ｐゴシック"/>
        <family val="3"/>
        <charset val="128"/>
        <scheme val="minor"/>
      </rPr>
      <t>0.717</t>
    </r>
    <phoneticPr fontId="2"/>
  </si>
  <si>
    <r>
      <t>m</t>
    </r>
    <r>
      <rPr>
        <vertAlign val="superscript"/>
        <sz val="11"/>
        <color theme="1"/>
        <rFont val="ＭＳ Ｐゴシック"/>
        <family val="3"/>
        <charset val="128"/>
        <scheme val="minor"/>
      </rPr>
      <t>3</t>
    </r>
    <r>
      <rPr>
        <sz val="11"/>
        <color theme="1"/>
        <rFont val="ＭＳ Ｐゴシック"/>
        <family val="3"/>
        <charset val="128"/>
        <scheme val="minor"/>
      </rPr>
      <t>/日</t>
    </r>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</si>
  <si>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t>
    </r>
    <rPh sb="2" eb="4">
      <t>ショウカ</t>
    </rPh>
    <rPh sb="6" eb="7">
      <t>リョウ</t>
    </rPh>
    <phoneticPr fontId="2"/>
  </si>
  <si>
    <t>Q：発電量（kWh/日）</t>
    <rPh sb="2" eb="4">
      <t>ハツデン</t>
    </rPh>
    <rPh sb="4" eb="5">
      <t>リョウ</t>
    </rPh>
    <rPh sb="10" eb="11">
      <t>ニチ</t>
    </rPh>
    <phoneticPr fontId="2"/>
  </si>
  <si>
    <t>Q：し尿処理量（kl/日）</t>
    <rPh sb="3" eb="4">
      <t>ニョウ</t>
    </rPh>
    <rPh sb="4" eb="6">
      <t>ショリ</t>
    </rPh>
    <rPh sb="6" eb="7">
      <t>リョウ</t>
    </rPh>
    <rPh sb="11" eb="12">
      <t>ニチ</t>
    </rPh>
    <phoneticPr fontId="2"/>
  </si>
  <si>
    <t>処理・維持管理費</t>
    <rPh sb="0" eb="2">
      <t>ショリ</t>
    </rPh>
    <rPh sb="3" eb="5">
      <t>イジ</t>
    </rPh>
    <rPh sb="5" eb="8">
      <t>カンリヒ</t>
    </rPh>
    <phoneticPr fontId="2"/>
  </si>
  <si>
    <t>Q：し尿処理量（kl/年）</t>
    <rPh sb="3" eb="4">
      <t>ニョウ</t>
    </rPh>
    <rPh sb="4" eb="6">
      <t>ショリ</t>
    </rPh>
    <rPh sb="6" eb="7">
      <t>リョウ</t>
    </rPh>
    <rPh sb="11" eb="12">
      <t>ネン</t>
    </rPh>
    <phoneticPr fontId="2"/>
  </si>
  <si>
    <t>OD法汚泥</t>
    <rPh sb="2" eb="3">
      <t>ホウ</t>
    </rPh>
    <rPh sb="3" eb="5">
      <t>オデイ</t>
    </rPh>
    <phoneticPr fontId="2"/>
  </si>
  <si>
    <t>標活汚泥</t>
    <rPh sb="0" eb="1">
      <t>シルベ</t>
    </rPh>
    <rPh sb="1" eb="2">
      <t>カツ</t>
    </rPh>
    <rPh sb="2" eb="4">
      <t>オデイ</t>
    </rPh>
    <phoneticPr fontId="2"/>
  </si>
  <si>
    <t>集排汚泥</t>
    <rPh sb="0" eb="2">
      <t>シュウハイ</t>
    </rPh>
    <rPh sb="2" eb="4">
      <t>オデイ</t>
    </rPh>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</si>
  <si>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/日）※500≦Q≦15,000</t>
    </r>
    <rPh sb="2" eb="4">
      <t>ショウカ</t>
    </rPh>
    <rPh sb="6" eb="7">
      <t>リョウ</t>
    </rPh>
    <phoneticPr fontId="2"/>
  </si>
  <si>
    <r>
      <t>Q：消化ガス量（m</t>
    </r>
    <r>
      <rPr>
        <vertAlign val="superscript"/>
        <sz val="11"/>
        <color theme="1"/>
        <rFont val="ＭＳ Ｐゴシック"/>
        <family val="3"/>
        <charset val="128"/>
        <scheme val="minor"/>
      </rPr>
      <t>3</t>
    </r>
    <r>
      <rPr>
        <sz val="11"/>
        <color theme="1"/>
        <rFont val="ＭＳ Ｐゴシック"/>
        <family val="3"/>
        <charset val="128"/>
        <scheme val="minor"/>
      </rPr>
      <t>/日）※3,000≦Q≦30,000</t>
    </r>
    <rPh sb="2" eb="4">
      <t>ショウカ</t>
    </rPh>
    <rPh sb="6" eb="7">
      <t>リョウ</t>
    </rPh>
    <phoneticPr fontId="2"/>
  </si>
  <si>
    <t>基本情報
 ・
処
理
状
況</t>
    <rPh sb="0" eb="2">
      <t>キホン</t>
    </rPh>
    <rPh sb="2" eb="4">
      <t>ジョウホウ</t>
    </rPh>
    <rPh sb="8" eb="9">
      <t>ドコロ</t>
    </rPh>
    <rPh sb="10" eb="11">
      <t>コトワリ</t>
    </rPh>
    <rPh sb="12" eb="13">
      <t>ジョウ</t>
    </rPh>
    <rPh sb="14" eb="15">
      <t>キョウ</t>
    </rPh>
    <phoneticPr fontId="2"/>
  </si>
  <si>
    <t>基
本情報
 ・
処
理
状
況</t>
    <rPh sb="0" eb="1">
      <t>モト</t>
    </rPh>
    <rPh sb="2" eb="3">
      <t>ホン</t>
    </rPh>
    <rPh sb="3" eb="5">
      <t>ジョウホウ</t>
    </rPh>
    <rPh sb="9" eb="10">
      <t>ドコロ</t>
    </rPh>
    <rPh sb="11" eb="12">
      <t>コトワリ</t>
    </rPh>
    <rPh sb="13" eb="14">
      <t>ジョウ</t>
    </rPh>
    <rPh sb="15" eb="16">
      <t>キョウ</t>
    </rPh>
    <phoneticPr fontId="2"/>
  </si>
  <si>
    <t>処分費用単価</t>
    <rPh sb="0" eb="2">
      <t>ショブン</t>
    </rPh>
    <rPh sb="2" eb="4">
      <t>ヒヨウ</t>
    </rPh>
    <rPh sb="4" eb="6">
      <t>タンカ</t>
    </rPh>
    <phoneticPr fontId="2"/>
  </si>
  <si>
    <t>比率</t>
    <rPh sb="0" eb="2">
      <t>ヒリツ</t>
    </rPh>
    <phoneticPr fontId="2"/>
  </si>
  <si>
    <t>◆算定式・条件</t>
    <rPh sb="1" eb="3">
      <t>サンテイ</t>
    </rPh>
    <rPh sb="3" eb="4">
      <t>シキ</t>
    </rPh>
    <rPh sb="5" eb="7">
      <t>ジョウケン</t>
    </rPh>
    <phoneticPr fontId="2"/>
  </si>
  <si>
    <r>
      <rPr>
        <sz val="11"/>
        <color rgb="FFFF0000"/>
        <rFont val="ＭＳ Ｐゴシック"/>
        <family val="3"/>
        <charset val="128"/>
        <scheme val="minor"/>
      </rPr>
      <t>受入槽容量(m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3"/>
        <charset val="128"/>
        <scheme val="minor"/>
      </rPr>
      <t>=各バイオマス日最大処理量(m</t>
    </r>
    <r>
      <rPr>
        <vertAlign val="superscript"/>
        <sz val="11"/>
        <color theme="1"/>
        <rFont val="ＭＳ Ｐゴシック"/>
        <family val="3"/>
        <charset val="128"/>
        <scheme val="minor"/>
      </rPr>
      <t>3</t>
    </r>
    <r>
      <rPr>
        <sz val="11"/>
        <color theme="1"/>
        <rFont val="ＭＳ Ｐゴシック"/>
        <family val="3"/>
        <charset val="128"/>
        <scheme val="minor"/>
      </rPr>
      <t>/日)×貯留日数（日）</t>
    </r>
    <rPh sb="0" eb="2">
      <t>ウケイレ</t>
    </rPh>
    <rPh sb="2" eb="3">
      <t>ソウ</t>
    </rPh>
    <rPh sb="3" eb="5">
      <t>ヨウリョウ</t>
    </rPh>
    <rPh sb="10" eb="11">
      <t>カク</t>
    </rPh>
    <rPh sb="16" eb="17">
      <t>ニチ</t>
    </rPh>
    <rPh sb="17" eb="19">
      <t>サイダイ</t>
    </rPh>
    <rPh sb="19" eb="21">
      <t>ショリ</t>
    </rPh>
    <rPh sb="21" eb="22">
      <t>リョウ</t>
    </rPh>
    <rPh sb="26" eb="27">
      <t>ニチ</t>
    </rPh>
    <rPh sb="29" eb="31">
      <t>チョリュウ</t>
    </rPh>
    <rPh sb="31" eb="33">
      <t>ニッスウ</t>
    </rPh>
    <rPh sb="34" eb="35">
      <t>ニチ</t>
    </rPh>
    <phoneticPr fontId="2"/>
  </si>
  <si>
    <r>
      <rPr>
        <sz val="11"/>
        <color rgb="FFFF0000"/>
        <rFont val="ＭＳ Ｐゴシック"/>
        <family val="3"/>
        <charset val="128"/>
        <scheme val="minor"/>
      </rPr>
      <t>混合槽容量（m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=1日当たりの各バイオマス日平均処理量の総和(m</t>
    </r>
    <r>
      <rPr>
        <vertAlign val="superscript"/>
        <sz val="11"/>
        <color theme="1"/>
        <rFont val="ＭＳ Ｐゴシック"/>
        <family val="3"/>
        <charset val="128"/>
        <scheme val="minor"/>
      </rPr>
      <t>3</t>
    </r>
    <r>
      <rPr>
        <sz val="11"/>
        <color theme="1"/>
        <rFont val="ＭＳ Ｐゴシック"/>
        <family val="2"/>
        <charset val="128"/>
        <scheme val="minor"/>
      </rPr>
      <t>)</t>
    </r>
    <rPh sb="0" eb="2">
      <t>コンゴウ</t>
    </rPh>
    <rPh sb="2" eb="3">
      <t>ソウ</t>
    </rPh>
    <rPh sb="3" eb="5">
      <t>ヨウリョウ</t>
    </rPh>
    <rPh sb="11" eb="12">
      <t>ニチ</t>
    </rPh>
    <rPh sb="12" eb="13">
      <t>ア</t>
    </rPh>
    <rPh sb="16" eb="17">
      <t>カク</t>
    </rPh>
    <rPh sb="22" eb="23">
      <t>ニチ</t>
    </rPh>
    <rPh sb="23" eb="25">
      <t>ヘイキン</t>
    </rPh>
    <rPh sb="25" eb="27">
      <t>ショリ</t>
    </rPh>
    <rPh sb="27" eb="28">
      <t>リョウ</t>
    </rPh>
    <rPh sb="29" eb="31">
      <t>ソウワ</t>
    </rPh>
    <phoneticPr fontId="2"/>
  </si>
  <si>
    <r>
      <rPr>
        <sz val="11"/>
        <color rgb="FFFF0000"/>
        <rFont val="ＭＳ Ｐゴシック"/>
        <family val="3"/>
        <charset val="128"/>
        <scheme val="minor"/>
      </rPr>
      <t>ガス貯留容量(m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=ガス発生量の半日分</t>
    </r>
    <rPh sb="2" eb="4">
      <t>チョリュウ</t>
    </rPh>
    <rPh sb="4" eb="6">
      <t>ヨウリョウ</t>
    </rPh>
    <rPh sb="13" eb="15">
      <t>ハッセイ</t>
    </rPh>
    <rPh sb="15" eb="16">
      <t>リョウ</t>
    </rPh>
    <rPh sb="17" eb="19">
      <t>ハンニチ</t>
    </rPh>
    <rPh sb="19" eb="20">
      <t>ブン</t>
    </rPh>
    <phoneticPr fontId="2"/>
  </si>
  <si>
    <r>
      <rPr>
        <sz val="11"/>
        <color rgb="FFFF0000"/>
        <rFont val="ＭＳ Ｐゴシック"/>
        <family val="3"/>
        <charset val="128"/>
        <scheme val="minor"/>
      </rPr>
      <t>脱硫設備（m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2"/>
        <charset val="128"/>
        <scheme val="minor"/>
      </rPr>
      <t>=ガス発生量/24(h)   ※日平均消化ガス発生量</t>
    </r>
    <rPh sb="0" eb="2">
      <t>ダツリュウ</t>
    </rPh>
    <rPh sb="2" eb="4">
      <t>セツビ</t>
    </rPh>
    <rPh sb="11" eb="13">
      <t>ハッセイ</t>
    </rPh>
    <rPh sb="13" eb="14">
      <t>リョウ</t>
    </rPh>
    <rPh sb="24" eb="25">
      <t>ニチ</t>
    </rPh>
    <rPh sb="25" eb="27">
      <t>ヘイキン</t>
    </rPh>
    <rPh sb="27" eb="29">
      <t>ショウカ</t>
    </rPh>
    <rPh sb="31" eb="33">
      <t>ハッセイ</t>
    </rPh>
    <rPh sb="33" eb="34">
      <t>リョウ</t>
    </rPh>
    <phoneticPr fontId="2"/>
  </si>
  <si>
    <r>
      <rPr>
        <sz val="11"/>
        <color rgb="FFFF0000"/>
        <rFont val="ＭＳ Ｐゴシック"/>
        <family val="3"/>
        <charset val="128"/>
        <scheme val="minor"/>
      </rPr>
      <t>メタン発酵槽容量（m</t>
    </r>
    <r>
      <rPr>
        <vertAlign val="superscript"/>
        <sz val="11"/>
        <color rgb="FFFF0000"/>
        <rFont val="ＭＳ Ｐゴシック"/>
        <family val="3"/>
        <charset val="128"/>
        <scheme val="minor"/>
      </rPr>
      <t>3</t>
    </r>
    <r>
      <rPr>
        <sz val="11"/>
        <color rgb="FFFF0000"/>
        <rFont val="ＭＳ Ｐゴシック"/>
        <family val="3"/>
        <charset val="128"/>
        <scheme val="minor"/>
      </rPr>
      <t>）</t>
    </r>
    <r>
      <rPr>
        <sz val="11"/>
        <color theme="1"/>
        <rFont val="ＭＳ Ｐゴシック"/>
        <family val="3"/>
        <charset val="128"/>
        <scheme val="minor"/>
      </rPr>
      <t>=混合バイオマス日平均量(m</t>
    </r>
    <r>
      <rPr>
        <vertAlign val="superscript"/>
        <sz val="11"/>
        <color theme="1"/>
        <rFont val="ＭＳ Ｐゴシック"/>
        <family val="3"/>
        <charset val="128"/>
        <scheme val="minor"/>
      </rPr>
      <t>3</t>
    </r>
    <r>
      <rPr>
        <sz val="11"/>
        <color theme="1"/>
        <rFont val="ＭＳ Ｐゴシック"/>
        <family val="3"/>
        <charset val="128"/>
        <scheme val="minor"/>
      </rPr>
      <t>/日)×滞留日数(25日)</t>
    </r>
    <rPh sb="3" eb="5">
      <t>ハッコウ</t>
    </rPh>
    <rPh sb="5" eb="6">
      <t>ソウ</t>
    </rPh>
    <rPh sb="6" eb="8">
      <t>ヨウリョウ</t>
    </rPh>
    <rPh sb="13" eb="15">
      <t>コンゴウ</t>
    </rPh>
    <rPh sb="20" eb="21">
      <t>ニチ</t>
    </rPh>
    <rPh sb="21" eb="23">
      <t>ヘイキン</t>
    </rPh>
    <rPh sb="23" eb="24">
      <t>リョウ</t>
    </rPh>
    <rPh sb="28" eb="29">
      <t>ニチ</t>
    </rPh>
    <rPh sb="31" eb="33">
      <t>タイリュウ</t>
    </rPh>
    <rPh sb="33" eb="35">
      <t>ニッスウ</t>
    </rPh>
    <rPh sb="38" eb="39">
      <t>ニチ</t>
    </rPh>
    <phoneticPr fontId="2"/>
  </si>
  <si>
    <t>◆施設規模の設定</t>
    <rPh sb="1" eb="3">
      <t>シセツ</t>
    </rPh>
    <rPh sb="3" eb="5">
      <t>キボ</t>
    </rPh>
    <rPh sb="6" eb="8">
      <t>セッテイ</t>
    </rPh>
    <phoneticPr fontId="2"/>
  </si>
  <si>
    <t>◆事業費：計算条件</t>
    <rPh sb="1" eb="3">
      <t>ジギョウ</t>
    </rPh>
    <rPh sb="3" eb="4">
      <t>ヒ</t>
    </rPh>
    <rPh sb="5" eb="7">
      <t>ケイサン</t>
    </rPh>
    <rPh sb="7" eb="9">
      <t>ジョウケン</t>
    </rPh>
    <phoneticPr fontId="2"/>
  </si>
  <si>
    <t>処理能力</t>
    <rPh sb="0" eb="2">
      <t>ショリ</t>
    </rPh>
    <phoneticPr fontId="2"/>
  </si>
  <si>
    <t>機器種類</t>
    <rPh sb="0" eb="2">
      <t>キキ</t>
    </rPh>
    <rPh sb="2" eb="4">
      <t>シュルイ</t>
    </rPh>
    <phoneticPr fontId="2"/>
  </si>
  <si>
    <t>処理場名</t>
    <rPh sb="0" eb="3">
      <t>ショリジョウ</t>
    </rPh>
    <rPh sb="3" eb="4">
      <t>メイ</t>
    </rPh>
    <phoneticPr fontId="2"/>
  </si>
  <si>
    <t>拠点施設　①</t>
    <rPh sb="0" eb="2">
      <t>キョテン</t>
    </rPh>
    <rPh sb="2" eb="4">
      <t>シセツ</t>
    </rPh>
    <phoneticPr fontId="2"/>
  </si>
  <si>
    <t>対象下水道の汚泥処理設備の基数を入力してください。複数の下水道をまとめて入力する場合は合計を入力してください。</t>
    <rPh sb="0" eb="2">
      <t>タイショウ</t>
    </rPh>
    <rPh sb="2" eb="4">
      <t>ゲスイ</t>
    </rPh>
    <rPh sb="4" eb="5">
      <t>ドウ</t>
    </rPh>
    <rPh sb="6" eb="8">
      <t>オデイ</t>
    </rPh>
    <rPh sb="8" eb="10">
      <t>ショリ</t>
    </rPh>
    <rPh sb="10" eb="12">
      <t>セツビ</t>
    </rPh>
    <rPh sb="13" eb="15">
      <t>キスウ</t>
    </rPh>
    <rPh sb="16" eb="18">
      <t>ニュウリョク</t>
    </rPh>
    <rPh sb="25" eb="27">
      <t>フクスウ</t>
    </rPh>
    <rPh sb="28" eb="30">
      <t>ゲスイ</t>
    </rPh>
    <rPh sb="30" eb="31">
      <t>ドウ</t>
    </rPh>
    <rPh sb="36" eb="38">
      <t>ニュウリョク</t>
    </rPh>
    <rPh sb="40" eb="42">
      <t>バアイ</t>
    </rPh>
    <rPh sb="43" eb="45">
      <t>ゴウケイ</t>
    </rPh>
    <rPh sb="46" eb="48">
      <t>ニュウリョク</t>
    </rPh>
    <phoneticPr fontId="2"/>
  </si>
  <si>
    <t>H26年度　石川県　下水道汚泥等活用研究会アンケート集計結果　【焼却処分】</t>
    <rPh sb="3" eb="5">
      <t>ネンド</t>
    </rPh>
    <rPh sb="6" eb="9">
      <t>イシカワケン</t>
    </rPh>
    <rPh sb="10" eb="13">
      <t>ゲスイドウ</t>
    </rPh>
    <rPh sb="13" eb="15">
      <t>オデイ</t>
    </rPh>
    <rPh sb="15" eb="16">
      <t>トウ</t>
    </rPh>
    <rPh sb="16" eb="18">
      <t>カツヨウ</t>
    </rPh>
    <rPh sb="18" eb="21">
      <t>ケンキュウカイ</t>
    </rPh>
    <rPh sb="26" eb="28">
      <t>シュウケイ</t>
    </rPh>
    <rPh sb="28" eb="30">
      <t>ケッカ</t>
    </rPh>
    <rPh sb="32" eb="34">
      <t>ショウキャク</t>
    </rPh>
    <rPh sb="34" eb="36">
      <t>ショブン</t>
    </rPh>
    <phoneticPr fontId="2"/>
  </si>
  <si>
    <t>H26年度　石川県　汚泥処理処分状況調査票　【陸上埋立】</t>
    <rPh sb="3" eb="5">
      <t>ネンド</t>
    </rPh>
    <rPh sb="6" eb="9">
      <t>イシカワケン</t>
    </rPh>
    <rPh sb="10" eb="12">
      <t>オデイ</t>
    </rPh>
    <rPh sb="12" eb="14">
      <t>ショリ</t>
    </rPh>
    <rPh sb="14" eb="16">
      <t>ショブン</t>
    </rPh>
    <rPh sb="16" eb="18">
      <t>ジョウキョウ</t>
    </rPh>
    <rPh sb="18" eb="20">
      <t>チョウサ</t>
    </rPh>
    <rPh sb="20" eb="21">
      <t>ヒョウ</t>
    </rPh>
    <rPh sb="23" eb="25">
      <t>リクジョウ</t>
    </rPh>
    <rPh sb="25" eb="27">
      <t>ウメタテ</t>
    </rPh>
    <phoneticPr fontId="2"/>
  </si>
  <si>
    <t>H26年度　石川県　汚泥処理処分状況調査票　【堆肥化・肥料化・セメント原料等・緑化基盤材】</t>
    <rPh sb="3" eb="5">
      <t>ネンド</t>
    </rPh>
    <rPh sb="6" eb="9">
      <t>イシカワケン</t>
    </rPh>
    <rPh sb="10" eb="12">
      <t>オデイ</t>
    </rPh>
    <rPh sb="12" eb="14">
      <t>ショリ</t>
    </rPh>
    <rPh sb="14" eb="16">
      <t>ショブン</t>
    </rPh>
    <rPh sb="16" eb="18">
      <t>ジョウキョウ</t>
    </rPh>
    <rPh sb="18" eb="20">
      <t>チョウサ</t>
    </rPh>
    <rPh sb="20" eb="21">
      <t>ヒョウ</t>
    </rPh>
    <rPh sb="23" eb="26">
      <t>タイヒカ</t>
    </rPh>
    <rPh sb="27" eb="30">
      <t>ヒリョウカ</t>
    </rPh>
    <rPh sb="35" eb="37">
      <t>ゲンリョウ</t>
    </rPh>
    <rPh sb="37" eb="38">
      <t>トウ</t>
    </rPh>
    <rPh sb="39" eb="41">
      <t>リョクカ</t>
    </rPh>
    <rPh sb="41" eb="43">
      <t>キバン</t>
    </rPh>
    <rPh sb="43" eb="44">
      <t>ザイ</t>
    </rPh>
    <phoneticPr fontId="2"/>
  </si>
  <si>
    <t>O.K or 能力不足</t>
    <rPh sb="7" eb="9">
      <t>ノウリョク</t>
    </rPh>
    <rPh sb="9" eb="11">
      <t>ブソク</t>
    </rPh>
    <phoneticPr fontId="2"/>
  </si>
  <si>
    <t>生汚泥・濃縮汚泥</t>
    <rPh sb="0" eb="1">
      <t>ナマ</t>
    </rPh>
    <rPh sb="1" eb="3">
      <t>オデイ</t>
    </rPh>
    <rPh sb="4" eb="6">
      <t>ノウシュク</t>
    </rPh>
    <rPh sb="6" eb="8">
      <t>オデイ</t>
    </rPh>
    <phoneticPr fontId="2"/>
  </si>
  <si>
    <r>
      <t>Nm</t>
    </r>
    <r>
      <rPr>
        <vertAlign val="superscript"/>
        <sz val="10"/>
        <color theme="1"/>
        <rFont val="ＭＳ Ｐゴシック"/>
        <family val="3"/>
        <charset val="128"/>
        <scheme val="minor"/>
      </rPr>
      <t>3</t>
    </r>
    <r>
      <rPr>
        <sz val="10"/>
        <color theme="1"/>
        <rFont val="ＭＳ Ｐゴシック"/>
        <family val="3"/>
        <charset val="128"/>
        <scheme val="minor"/>
      </rPr>
      <t>/kg-VS</t>
    </r>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</si>
  <si>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/年</t>
    </r>
    <rPh sb="3" eb="4">
      <t>ネン</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</si>
  <si>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/日</t>
    </r>
    <rPh sb="3" eb="4">
      <t>ニチ</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</si>
  <si>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-DS/日</t>
    </r>
    <rPh sb="6" eb="7">
      <t>ニチ</t>
    </rPh>
    <phoneticPr fontId="2"/>
  </si>
  <si>
    <r>
      <t>m</t>
    </r>
    <r>
      <rPr>
        <vertAlign val="superscript"/>
        <sz val="10"/>
        <color theme="1"/>
        <rFont val="ＭＳ Ｐゴシック"/>
        <family val="3"/>
        <charset val="128"/>
        <scheme val="minor"/>
      </rPr>
      <t>3</t>
    </r>
    <r>
      <rPr>
        <sz val="10"/>
        <color theme="1"/>
        <rFont val="ＭＳ Ｐゴシック"/>
        <family val="3"/>
        <charset val="128"/>
        <scheme val="minor"/>
      </rPr>
      <t>-DS/h</t>
    </r>
    <phoneticPr fontId="2"/>
  </si>
  <si>
    <r>
      <t>kJ/Nm</t>
    </r>
    <r>
      <rPr>
        <vertAlign val="superscript"/>
        <sz val="10"/>
        <color theme="1"/>
        <rFont val="ＭＳ Ｐゴシック"/>
        <family val="3"/>
        <charset val="128"/>
        <scheme val="minor"/>
      </rPr>
      <t>3</t>
    </r>
    <phoneticPr fontId="2"/>
  </si>
  <si>
    <t>し尿・浄化槽汚泥・生ごみ等、複数個所から集約する場合はまとめて入力してください。
まとめて入力する場合は【日平均発生量】は合計値、【変動係数・異物割合・固形物濃度・有機物濃度・有機物分解率・消化ガス転化量】は平均値を入力してください。</t>
    <rPh sb="1" eb="2">
      <t>ニョウ</t>
    </rPh>
    <rPh sb="3" eb="6">
      <t>ジョウカソウ</t>
    </rPh>
    <rPh sb="6" eb="8">
      <t>オデイ</t>
    </rPh>
    <rPh sb="9" eb="10">
      <t>ナマ</t>
    </rPh>
    <rPh sb="12" eb="13">
      <t>トウ</t>
    </rPh>
    <rPh sb="14" eb="16">
      <t>フクスウ</t>
    </rPh>
    <rPh sb="16" eb="18">
      <t>カショ</t>
    </rPh>
    <rPh sb="20" eb="22">
      <t>シュウヤク</t>
    </rPh>
    <rPh sb="24" eb="26">
      <t>バアイ</t>
    </rPh>
    <rPh sb="31" eb="33">
      <t>ニュウリョク</t>
    </rPh>
    <phoneticPr fontId="2"/>
  </si>
  <si>
    <t>実績に基づいた1tあたりの収集運搬費及び処分費を入力してください。実績が確認できない場合は類似事例もしくは参考値は入力してください。</t>
    <rPh sb="18" eb="19">
      <t>オヨ</t>
    </rPh>
    <rPh sb="20" eb="22">
      <t>ショブン</t>
    </rPh>
    <rPh sb="22" eb="23">
      <t>ヒ</t>
    </rPh>
    <phoneticPr fontId="2"/>
  </si>
  <si>
    <t>実績に基づいた1tあたりの収集運搬費及び処分費を入力してください。実績が確認できない場合は類似事例もしくは参考値は入力してください。</t>
    <phoneticPr fontId="2"/>
  </si>
  <si>
    <t>変動係数</t>
    <rPh sb="0" eb="2">
      <t>ヘンドウ</t>
    </rPh>
    <rPh sb="2" eb="4">
      <t>ケイスウ</t>
    </rPh>
    <phoneticPr fontId="2"/>
  </si>
  <si>
    <t>%-VS</t>
    <phoneticPr fontId="2"/>
  </si>
  <si>
    <t>◆バイオマス性状①</t>
    <rPh sb="6" eb="8">
      <t>セイジョウ</t>
    </rPh>
    <phoneticPr fontId="2"/>
  </si>
  <si>
    <t>◆バイオマス性状②</t>
    <rPh sb="6" eb="8">
      <t>セイジョウ</t>
    </rPh>
    <phoneticPr fontId="2"/>
  </si>
  <si>
    <t>家畜排泄物【牛】</t>
    <rPh sb="0" eb="2">
      <t>カチク</t>
    </rPh>
    <rPh sb="2" eb="4">
      <t>ハイセツ</t>
    </rPh>
    <rPh sb="4" eb="5">
      <t>ブツ</t>
    </rPh>
    <rPh sb="6" eb="7">
      <t>ウシ</t>
    </rPh>
    <phoneticPr fontId="2"/>
  </si>
  <si>
    <t>家畜排泄物【豚】</t>
    <rPh sb="0" eb="2">
      <t>カチク</t>
    </rPh>
    <rPh sb="2" eb="4">
      <t>ハイセツ</t>
    </rPh>
    <rPh sb="4" eb="5">
      <t>ブツ</t>
    </rPh>
    <rPh sb="6" eb="7">
      <t>ブタ</t>
    </rPh>
    <phoneticPr fontId="2"/>
  </si>
  <si>
    <t>家畜排泄物【鶏】</t>
    <rPh sb="0" eb="2">
      <t>カチク</t>
    </rPh>
    <rPh sb="2" eb="4">
      <t>ハイセツ</t>
    </rPh>
    <rPh sb="4" eb="5">
      <t>ブツ</t>
    </rPh>
    <rPh sb="6" eb="7">
      <t>ニワトリ</t>
    </rPh>
    <phoneticPr fontId="2"/>
  </si>
  <si>
    <t>①は集約処理の拠点施設になります。
②から順に、日平均発生汚泥量が大きい処理場を入力してください。
集約対象の下水処理場数が7箇所以上の場合はまとめて入力してください。
まとめて入力する場合は【日平均発生量】は合計値、【変動係数・異物割合・固形物濃度・有機物濃度・有機物分解率・消化ガス転化量】は平均値を入力してください。</t>
    <rPh sb="2" eb="4">
      <t>シュウヤク</t>
    </rPh>
    <rPh sb="4" eb="6">
      <t>ショリ</t>
    </rPh>
    <rPh sb="7" eb="9">
      <t>キョテン</t>
    </rPh>
    <rPh sb="9" eb="11">
      <t>シセツ</t>
    </rPh>
    <rPh sb="21" eb="22">
      <t>ジュン</t>
    </rPh>
    <rPh sb="24" eb="25">
      <t>ニチ</t>
    </rPh>
    <rPh sb="25" eb="27">
      <t>ヘイキン</t>
    </rPh>
    <rPh sb="27" eb="29">
      <t>ハッセイ</t>
    </rPh>
    <rPh sb="29" eb="31">
      <t>オデイ</t>
    </rPh>
    <rPh sb="31" eb="32">
      <t>リョウ</t>
    </rPh>
    <rPh sb="33" eb="34">
      <t>オオ</t>
    </rPh>
    <rPh sb="36" eb="39">
      <t>ショリジョウ</t>
    </rPh>
    <rPh sb="40" eb="42">
      <t>ニュウリョク</t>
    </rPh>
    <rPh sb="50" eb="52">
      <t>シュウヤク</t>
    </rPh>
    <rPh sb="52" eb="54">
      <t>タイショウ</t>
    </rPh>
    <rPh sb="55" eb="57">
      <t>ゲスイ</t>
    </rPh>
    <rPh sb="57" eb="59">
      <t>ショリ</t>
    </rPh>
    <rPh sb="59" eb="60">
      <t>ジョウ</t>
    </rPh>
    <rPh sb="60" eb="61">
      <t>スウ</t>
    </rPh>
    <rPh sb="63" eb="65">
      <t>カショ</t>
    </rPh>
    <rPh sb="65" eb="67">
      <t>イジョウ</t>
    </rPh>
    <rPh sb="68" eb="70">
      <t>バアイ</t>
    </rPh>
    <rPh sb="75" eb="77">
      <t>ニュウリョク</t>
    </rPh>
    <rPh sb="91" eb="93">
      <t>ニュウリョク</t>
    </rPh>
    <rPh sb="95" eb="97">
      <t>バアイ</t>
    </rPh>
    <rPh sb="154" eb="156">
      <t>ニュウリョク</t>
    </rPh>
    <phoneticPr fontId="2"/>
  </si>
  <si>
    <t>乾燥設備</t>
    <rPh sb="0" eb="2">
      <t>カンソウ</t>
    </rPh>
    <rPh sb="2" eb="4">
      <t>セツビ</t>
    </rPh>
    <phoneticPr fontId="2"/>
  </si>
  <si>
    <t>◆収集運搬単価・処分単価</t>
    <rPh sb="1" eb="3">
      <t>シュウシュウ</t>
    </rPh>
    <rPh sb="3" eb="5">
      <t>ウンパン</t>
    </rPh>
    <rPh sb="5" eb="7">
      <t>タンカ</t>
    </rPh>
    <rPh sb="8" eb="10">
      <t>ショブン</t>
    </rPh>
    <rPh sb="10" eb="12">
      <t>タンカ</t>
    </rPh>
    <phoneticPr fontId="2"/>
  </si>
  <si>
    <t>自家処分【焼却】</t>
    <rPh sb="0" eb="2">
      <t>ジカ</t>
    </rPh>
    <rPh sb="2" eb="4">
      <t>ショブン</t>
    </rPh>
    <rPh sb="5" eb="7">
      <t>ショウキャク</t>
    </rPh>
    <phoneticPr fontId="2"/>
  </si>
  <si>
    <t>委託処分【資源化】</t>
    <rPh sb="0" eb="2">
      <t>イタク</t>
    </rPh>
    <rPh sb="2" eb="4">
      <t>ショブン</t>
    </rPh>
    <rPh sb="5" eb="7">
      <t>シゲン</t>
    </rPh>
    <rPh sb="7" eb="8">
      <t>カ</t>
    </rPh>
    <phoneticPr fontId="2"/>
  </si>
  <si>
    <t>委託処分【埋立】</t>
    <rPh sb="0" eb="2">
      <t>イタク</t>
    </rPh>
    <rPh sb="2" eb="4">
      <t>ショブン</t>
    </rPh>
    <rPh sb="5" eb="7">
      <t>ウメタテ</t>
    </rPh>
    <phoneticPr fontId="2"/>
  </si>
  <si>
    <t>　初期投資費（百万円）</t>
    <phoneticPr fontId="2"/>
  </si>
  <si>
    <t>　年価事業費（百万円/年）</t>
    <phoneticPr fontId="2"/>
  </si>
  <si>
    <t>電気料金単価</t>
    <rPh sb="0" eb="2">
      <t>デンキ</t>
    </rPh>
    <rPh sb="2" eb="4">
      <t>リョウキン</t>
    </rPh>
    <rPh sb="4" eb="6">
      <t>タンカ</t>
    </rPh>
    <phoneticPr fontId="2"/>
  </si>
  <si>
    <t>灯油単価</t>
    <rPh sb="0" eb="2">
      <t>トウユ</t>
    </rPh>
    <rPh sb="2" eb="4">
      <t>タンカ</t>
    </rPh>
    <phoneticPr fontId="2"/>
  </si>
  <si>
    <r>
      <t>kg-VS/</t>
    </r>
    <r>
      <rPr>
        <sz val="11"/>
        <color theme="1"/>
        <rFont val="ＭＳ Ｐゴシック"/>
        <family val="2"/>
        <charset val="128"/>
        <scheme val="minor"/>
      </rPr>
      <t>m</t>
    </r>
    <r>
      <rPr>
        <vertAlign val="superscript"/>
        <sz val="11"/>
        <color theme="1"/>
        <rFont val="ＭＳ Ｐゴシック"/>
        <family val="3"/>
        <charset val="128"/>
        <scheme val="minor"/>
      </rPr>
      <t>3</t>
    </r>
    <r>
      <rPr>
        <sz val="11"/>
        <color theme="1"/>
        <rFont val="ＭＳ Ｐゴシック"/>
        <family val="3"/>
        <charset val="128"/>
        <scheme val="minor"/>
      </rPr>
      <t>/日</t>
    </r>
    <rPh sb="9" eb="10">
      <t>ニチ</t>
    </rPh>
    <phoneticPr fontId="2"/>
  </si>
  <si>
    <r>
      <t>1～3kg-VS/m</t>
    </r>
    <r>
      <rPr>
        <vertAlign val="superscript"/>
        <sz val="11"/>
        <color theme="1"/>
        <rFont val="ＭＳ Ｐゴシック"/>
        <family val="3"/>
        <charset val="128"/>
        <scheme val="minor"/>
      </rPr>
      <t>3</t>
    </r>
    <r>
      <rPr>
        <sz val="11"/>
        <color theme="1"/>
        <rFont val="ＭＳ Ｐゴシック"/>
        <family val="3"/>
        <charset val="128"/>
        <scheme val="minor"/>
      </rPr>
      <t>/</t>
    </r>
    <r>
      <rPr>
        <sz val="11"/>
        <color theme="1"/>
        <rFont val="ＭＳ Ｐゴシック"/>
        <family val="2"/>
        <charset val="128"/>
        <scheme val="minor"/>
      </rPr>
      <t>日</t>
    </r>
    <rPh sb="12" eb="13">
      <t>ニチ</t>
    </rPh>
    <phoneticPr fontId="2"/>
  </si>
  <si>
    <t>％-VS</t>
    <phoneticPr fontId="2"/>
  </si>
  <si>
    <r>
      <t>LOTUS</t>
    </r>
    <r>
      <rPr>
        <sz val="11"/>
        <color rgb="FF000000"/>
        <rFont val="ＭＳ Ｐゴシック"/>
        <family val="3"/>
        <charset val="128"/>
        <scheme val="minor"/>
      </rPr>
      <t>　</t>
    </r>
    <r>
      <rPr>
        <sz val="11"/>
        <color rgb="FF000000"/>
        <rFont val="Calibri"/>
        <family val="2"/>
      </rPr>
      <t>Project</t>
    </r>
    <r>
      <rPr>
        <sz val="11"/>
        <color rgb="FF000000"/>
        <rFont val="ＭＳ Ｐゴシック"/>
        <family val="3"/>
        <charset val="128"/>
        <scheme val="minor"/>
      </rPr>
      <t>技術評価書</t>
    </r>
  </si>
  <si>
    <t>｢バイオソリッド利活用基本計画（下水汚泥処理総合計画）策定マニュアル｣（社）日本下水道協会</t>
  </si>
  <si>
    <r>
      <t>｢し尿処理施設構造指針解説</t>
    </r>
    <r>
      <rPr>
        <sz val="11"/>
        <color rgb="FF000000"/>
        <rFont val="Calibri"/>
        <family val="2"/>
      </rPr>
      <t>-1988-</t>
    </r>
    <r>
      <rPr>
        <sz val="11"/>
        <color rgb="FF000000"/>
        <rFont val="ＭＳ Ｐゴシック"/>
        <family val="3"/>
        <charset val="128"/>
        <scheme val="minor"/>
      </rPr>
      <t>｣（社）全国都市清掃会議</t>
    </r>
  </si>
  <si>
    <r>
      <t>｢汚泥再生処理センター等施設整備の計画・設計要領</t>
    </r>
    <r>
      <rPr>
        <sz val="11"/>
        <color rgb="FF000000"/>
        <rFont val="Calibri"/>
        <family val="2"/>
      </rPr>
      <t>2006</t>
    </r>
    <r>
      <rPr>
        <sz val="11"/>
        <color rgb="FF000000"/>
        <rFont val="ＭＳ Ｐゴシック"/>
        <family val="3"/>
        <charset val="128"/>
        <scheme val="minor"/>
      </rPr>
      <t>年改訂版｣（社）全国都市清掃会議</t>
    </r>
  </si>
  <si>
    <t>｢農業集落排水汚泥利用マニュアル（案）｣（社）地域資源循環技術センター</t>
  </si>
  <si>
    <r>
      <t>袖山義人他（</t>
    </r>
    <r>
      <rPr>
        <sz val="11"/>
        <color rgb="FF000000"/>
        <rFont val="Calibri"/>
        <family val="2"/>
      </rPr>
      <t>2006</t>
    </r>
    <r>
      <rPr>
        <sz val="11"/>
        <color rgb="FF000000"/>
        <rFont val="ＭＳ Ｐゴシック"/>
        <family val="3"/>
        <charset val="128"/>
        <scheme val="minor"/>
      </rPr>
      <t>）バイオマス再資源化技術の性能・コスト評価</t>
    </r>
    <r>
      <rPr>
        <sz val="11"/>
        <color rgb="FF000000"/>
        <rFont val="Calibri"/>
        <family val="2"/>
      </rPr>
      <t>,</t>
    </r>
    <r>
      <rPr>
        <sz val="11"/>
        <color rgb="FF000000"/>
        <rFont val="ＭＳ Ｐゴシック"/>
        <family val="3"/>
        <charset val="128"/>
        <scheme val="minor"/>
      </rPr>
      <t>　農工研技報</t>
    </r>
    <r>
      <rPr>
        <sz val="11"/>
        <color rgb="FF000000"/>
        <rFont val="Calibri"/>
        <family val="2"/>
      </rPr>
      <t>204</t>
    </r>
  </si>
  <si>
    <t>「メタン発酵」野池達也編著　技報堂出版</t>
    <phoneticPr fontId="2"/>
  </si>
  <si>
    <t>｢バイオガス化マニュアル｣（社）日本有機資源協会</t>
  </si>
  <si>
    <t>「炭素循環と環境保全を実現する森林バイオマス・畜産廃棄物発電による地域振興」課題番号11794030　平成11～１３年度科学研究費補助金　（地域連携推進研究）研究成果報告　平成14年3月　今田鎖盛生（九州大学大学院農学研究院　教授）　　</t>
    <rPh sb="1" eb="3">
      <t>タンソ</t>
    </rPh>
    <rPh sb="3" eb="5">
      <t>ジュンカン</t>
    </rPh>
    <rPh sb="6" eb="8">
      <t>カンキョウ</t>
    </rPh>
    <rPh sb="8" eb="10">
      <t>ホゼン</t>
    </rPh>
    <rPh sb="11" eb="13">
      <t>ジツゲン</t>
    </rPh>
    <rPh sb="15" eb="17">
      <t>シンリン</t>
    </rPh>
    <rPh sb="23" eb="25">
      <t>チクサン</t>
    </rPh>
    <rPh sb="25" eb="28">
      <t>ハイキブツ</t>
    </rPh>
    <rPh sb="28" eb="30">
      <t>ハツデン</t>
    </rPh>
    <rPh sb="33" eb="35">
      <t>チイキ</t>
    </rPh>
    <rPh sb="35" eb="37">
      <t>シンコウ</t>
    </rPh>
    <rPh sb="38" eb="40">
      <t>カダイ</t>
    </rPh>
    <rPh sb="40" eb="42">
      <t>バンゴウ</t>
    </rPh>
    <rPh sb="111" eb="112">
      <t>イン</t>
    </rPh>
    <phoneticPr fontId="2"/>
  </si>
  <si>
    <t>年価事業費（百万円）</t>
    <rPh sb="0" eb="1">
      <t>ネン</t>
    </rPh>
    <rPh sb="1" eb="2">
      <t>カ</t>
    </rPh>
    <rPh sb="2" eb="4">
      <t>ジギョウ</t>
    </rPh>
    <rPh sb="4" eb="5">
      <t>ヒ</t>
    </rPh>
    <rPh sb="6" eb="9">
      <t>ヒャクマンエン</t>
    </rPh>
    <phoneticPr fontId="2"/>
  </si>
  <si>
    <t>補助無</t>
    <rPh sb="0" eb="2">
      <t>ホジョ</t>
    </rPh>
    <rPh sb="2" eb="3">
      <t>ナ</t>
    </rPh>
    <phoneticPr fontId="2"/>
  </si>
  <si>
    <t>■脱水設備：拠点施設の脱水設備について入力してください。</t>
    <rPh sb="6" eb="8">
      <t>キョテン</t>
    </rPh>
    <rPh sb="8" eb="10">
      <t>シセツ</t>
    </rPh>
    <rPh sb="11" eb="13">
      <t>ダッスイ</t>
    </rPh>
    <rPh sb="13" eb="15">
      <t>セツビ</t>
    </rPh>
    <rPh sb="19" eb="21">
      <t>ニュウリョク</t>
    </rPh>
    <phoneticPr fontId="2"/>
  </si>
  <si>
    <t>■ユーティリティ価格：現在の価格を入力してください。</t>
    <rPh sb="8" eb="10">
      <t>カカク</t>
    </rPh>
    <rPh sb="11" eb="13">
      <t>ゲンザイ</t>
    </rPh>
    <rPh sb="14" eb="16">
      <t>カカク</t>
    </rPh>
    <rPh sb="17" eb="19">
      <t>ニュウリョク</t>
    </rPh>
    <phoneticPr fontId="2"/>
  </si>
  <si>
    <t>■年価算定指標を入力してください。</t>
    <rPh sb="1" eb="2">
      <t>ネン</t>
    </rPh>
    <rPh sb="2" eb="3">
      <t>アタイ</t>
    </rPh>
    <rPh sb="3" eb="5">
      <t>サンテイ</t>
    </rPh>
    <rPh sb="5" eb="7">
      <t>シヒョウ</t>
    </rPh>
    <rPh sb="8" eb="10">
      <t>ニュウリョク</t>
    </rPh>
    <phoneticPr fontId="2"/>
  </si>
  <si>
    <t>■入力参考値：実績値がない場合は、以下の文献値を参考に入力してください。</t>
    <rPh sb="1" eb="3">
      <t>ニュウリョク</t>
    </rPh>
    <rPh sb="3" eb="5">
      <t>サンコウ</t>
    </rPh>
    <rPh sb="5" eb="6">
      <t>チ</t>
    </rPh>
    <rPh sb="7" eb="10">
      <t>ジッセキチ</t>
    </rPh>
    <rPh sb="13" eb="15">
      <t>バアイ</t>
    </rPh>
    <rPh sb="17" eb="19">
      <t>イカ</t>
    </rPh>
    <rPh sb="20" eb="23">
      <t>ブンケンチ</t>
    </rPh>
    <rPh sb="24" eb="26">
      <t>サンコウ</t>
    </rPh>
    <rPh sb="27" eb="29">
      <t>ニュウリョク</t>
    </rPh>
    <phoneticPr fontId="2"/>
  </si>
  <si>
    <t>■対象下水処理場における既存汚泥処理設備の基数を入力してください。</t>
    <rPh sb="1" eb="3">
      <t>タイショウ</t>
    </rPh>
    <rPh sb="3" eb="5">
      <t>ゲスイ</t>
    </rPh>
    <rPh sb="5" eb="7">
      <t>ショリ</t>
    </rPh>
    <rPh sb="7" eb="8">
      <t>ジョウ</t>
    </rPh>
    <rPh sb="12" eb="14">
      <t>キゾン</t>
    </rPh>
    <rPh sb="14" eb="16">
      <t>オデイ</t>
    </rPh>
    <rPh sb="16" eb="18">
      <t>ショリ</t>
    </rPh>
    <rPh sb="18" eb="20">
      <t>セツビ</t>
    </rPh>
    <rPh sb="21" eb="23">
      <t>キスウ</t>
    </rPh>
    <rPh sb="24" eb="26">
      <t>ニュウリョク</t>
    </rPh>
    <phoneticPr fontId="2"/>
  </si>
  <si>
    <t>算定結果</t>
    <rPh sb="0" eb="2">
      <t>サンテイ</t>
    </rPh>
    <rPh sb="2" eb="4">
      <t>ケッカ</t>
    </rPh>
    <phoneticPr fontId="2"/>
  </si>
  <si>
    <t>※濃縮汚泥ベース</t>
    <rPh sb="1" eb="3">
      <t>ノウシュク</t>
    </rPh>
    <rPh sb="3" eb="5">
      <t>オデイ</t>
    </rPh>
    <phoneticPr fontId="2"/>
  </si>
  <si>
    <t>出典：1・2・3・4・5・7・8・9・10</t>
    <rPh sb="0" eb="2">
      <t>シュッテン</t>
    </rPh>
    <phoneticPr fontId="2"/>
  </si>
  <si>
    <t>出典：11</t>
    <rPh sb="0" eb="2">
      <t>シュッテン</t>
    </rPh>
    <phoneticPr fontId="2"/>
  </si>
  <si>
    <t>出典：3・4・6・7・13・15</t>
    <rPh sb="0" eb="2">
      <t>シュッテン</t>
    </rPh>
    <phoneticPr fontId="2"/>
  </si>
  <si>
    <t>出典：12・14</t>
    <rPh sb="0" eb="2">
      <t>シュッテン</t>
    </rPh>
    <phoneticPr fontId="2"/>
  </si>
  <si>
    <t>出典：12・14・16</t>
    <rPh sb="0" eb="2">
      <t>シュッテン</t>
    </rPh>
    <phoneticPr fontId="2"/>
  </si>
  <si>
    <t>参考文献</t>
    <rPh sb="0" eb="2">
      <t>サンコウ</t>
    </rPh>
    <rPh sb="2" eb="4">
      <t>ブンケン</t>
    </rPh>
    <phoneticPr fontId="2"/>
  </si>
  <si>
    <t>▲出典：バイオマス性状①,②</t>
    <rPh sb="1" eb="3">
      <t>シュッテン</t>
    </rPh>
    <rPh sb="9" eb="11">
      <t>セイジョウ</t>
    </rPh>
    <phoneticPr fontId="2"/>
  </si>
  <si>
    <t>No.</t>
    <phoneticPr fontId="2"/>
  </si>
  <si>
    <t>ベルトプレス</t>
  </si>
  <si>
    <t>汚泥前処理設備</t>
    <rPh sb="0" eb="2">
      <t>オデイ</t>
    </rPh>
    <rPh sb="2" eb="5">
      <t>マエショリ</t>
    </rPh>
    <rPh sb="5" eb="7">
      <t>セツビ</t>
    </rPh>
    <phoneticPr fontId="2"/>
  </si>
  <si>
    <t>混合脱水汚泥</t>
    <rPh sb="0" eb="2">
      <t>コンゴウ</t>
    </rPh>
    <rPh sb="2" eb="4">
      <t>ダッスイ</t>
    </rPh>
    <rPh sb="4" eb="6">
      <t>オデイ</t>
    </rPh>
    <phoneticPr fontId="2"/>
  </si>
  <si>
    <t>1%換算</t>
    <rPh sb="2" eb="4">
      <t>カンザン</t>
    </rPh>
    <phoneticPr fontId="2"/>
  </si>
  <si>
    <t>MW維持管理</t>
    <rPh sb="2" eb="4">
      <t>イジ</t>
    </rPh>
    <rPh sb="4" eb="6">
      <t>カンリ</t>
    </rPh>
    <phoneticPr fontId="2"/>
  </si>
  <si>
    <t>Q：投入汚泥量[1%濃度換算値]</t>
    <phoneticPr fontId="2"/>
  </si>
  <si>
    <r>
      <t>m</t>
    </r>
    <r>
      <rPr>
        <vertAlign val="superscript"/>
        <sz val="11"/>
        <color theme="1"/>
        <rFont val="ＭＳ Ｐゴシック"/>
        <family val="3"/>
        <charset val="128"/>
        <scheme val="minor"/>
      </rPr>
      <t>3</t>
    </r>
    <r>
      <rPr>
        <sz val="11"/>
        <color theme="1"/>
        <rFont val="ＭＳ Ｐゴシック"/>
        <family val="2"/>
        <charset val="128"/>
        <scheme val="minor"/>
      </rPr>
      <t>/日</t>
    </r>
    <phoneticPr fontId="2"/>
  </si>
  <si>
    <t>◆MW装置算定</t>
    <rPh sb="3" eb="5">
      <t>ソウチ</t>
    </rPh>
    <rPh sb="5" eb="7">
      <t>サンテイ</t>
    </rPh>
    <phoneticPr fontId="2"/>
  </si>
  <si>
    <t>ガス発生量</t>
    <rPh sb="2" eb="4">
      <t>ハッセイ</t>
    </rPh>
    <rPh sb="4" eb="5">
      <t>リョウ</t>
    </rPh>
    <phoneticPr fontId="2"/>
  </si>
  <si>
    <t>ガス発生量1.5倍（混合脱水汚泥）</t>
    <rPh sb="2" eb="4">
      <t>ハッセイ</t>
    </rPh>
    <rPh sb="4" eb="5">
      <t>リョウ</t>
    </rPh>
    <rPh sb="8" eb="9">
      <t>バイ</t>
    </rPh>
    <rPh sb="10" eb="12">
      <t>コンゴウ</t>
    </rPh>
    <rPh sb="12" eb="14">
      <t>ダッスイ</t>
    </rPh>
    <rPh sb="14" eb="16">
      <t>オデイ</t>
    </rPh>
    <phoneticPr fontId="2"/>
  </si>
  <si>
    <t>下水汚泥</t>
    <rPh sb="0" eb="2">
      <t>ゲスイ</t>
    </rPh>
    <rPh sb="2" eb="4">
      <t>オデイ</t>
    </rPh>
    <phoneticPr fontId="2"/>
  </si>
  <si>
    <t>施設規模</t>
    <rPh sb="0" eb="2">
      <t>シセツ</t>
    </rPh>
    <rPh sb="2" eb="4">
      <t>キボ</t>
    </rPh>
    <phoneticPr fontId="2"/>
  </si>
  <si>
    <t>実績</t>
    <rPh sb="0" eb="2">
      <t>ジッセキ</t>
    </rPh>
    <phoneticPr fontId="2"/>
  </si>
  <si>
    <t>設備更新費</t>
    <rPh sb="0" eb="2">
      <t>セツビ</t>
    </rPh>
    <rPh sb="2" eb="4">
      <t>コウシン</t>
    </rPh>
    <rPh sb="4" eb="5">
      <t>ヒ</t>
    </rPh>
    <phoneticPr fontId="2"/>
  </si>
  <si>
    <t>し尿処理施設、集落排水汚泥処理施設の設備更新費及び維持管理費を入力してください。</t>
    <rPh sb="1" eb="2">
      <t>ニョウ</t>
    </rPh>
    <rPh sb="2" eb="4">
      <t>ショリ</t>
    </rPh>
    <rPh sb="4" eb="6">
      <t>シセツ</t>
    </rPh>
    <rPh sb="7" eb="9">
      <t>シュウラク</t>
    </rPh>
    <rPh sb="9" eb="11">
      <t>ハイスイ</t>
    </rPh>
    <rPh sb="11" eb="13">
      <t>オデイ</t>
    </rPh>
    <rPh sb="13" eb="15">
      <t>ショリ</t>
    </rPh>
    <rPh sb="15" eb="17">
      <t>シセツ</t>
    </rPh>
    <rPh sb="18" eb="20">
      <t>セツビ</t>
    </rPh>
    <rPh sb="20" eb="22">
      <t>コウシン</t>
    </rPh>
    <rPh sb="22" eb="23">
      <t>ヒ</t>
    </rPh>
    <rPh sb="23" eb="24">
      <t>オヨ</t>
    </rPh>
    <rPh sb="25" eb="27">
      <t>イジ</t>
    </rPh>
    <rPh sb="27" eb="29">
      <t>カンリ</t>
    </rPh>
    <rPh sb="29" eb="30">
      <t>ヒ</t>
    </rPh>
    <rPh sb="31" eb="33">
      <t>ニュウリョク</t>
    </rPh>
    <phoneticPr fontId="2"/>
  </si>
  <si>
    <t>：</t>
    <phoneticPr fontId="2"/>
  </si>
  <si>
    <t>入力セル②</t>
    <rPh sb="0" eb="2">
      <t>ニュウリョク</t>
    </rPh>
    <phoneticPr fontId="2"/>
  </si>
  <si>
    <t>基本情報を入力してください。費用関数により、現状及び「いしかわモデル」導入時の事業費を算出します。</t>
    <rPh sb="0" eb="2">
      <t>キホン</t>
    </rPh>
    <rPh sb="2" eb="4">
      <t>ジョウホウ</t>
    </rPh>
    <rPh sb="5" eb="7">
      <t>ニュウリョク</t>
    </rPh>
    <rPh sb="14" eb="16">
      <t>ヒヨウ</t>
    </rPh>
    <rPh sb="16" eb="18">
      <t>カンスウ</t>
    </rPh>
    <rPh sb="22" eb="24">
      <t>ゲンジョウ</t>
    </rPh>
    <rPh sb="24" eb="25">
      <t>オヨ</t>
    </rPh>
    <rPh sb="35" eb="37">
      <t>ドウニュウ</t>
    </rPh>
    <rPh sb="37" eb="38">
      <t>ジ</t>
    </rPh>
    <rPh sb="39" eb="41">
      <t>ジギョウ</t>
    </rPh>
    <rPh sb="41" eb="42">
      <t>ヒ</t>
    </rPh>
    <rPh sb="43" eb="45">
      <t>サンシュツ</t>
    </rPh>
    <phoneticPr fontId="2"/>
  </si>
  <si>
    <t>入力セル①</t>
    <rPh sb="0" eb="2">
      <t>ニュウリョク</t>
    </rPh>
    <phoneticPr fontId="2"/>
  </si>
  <si>
    <t>なお、実績が確認できない場合は費用関数により算出しますので、入力は、不要です。</t>
    <phoneticPr fontId="2"/>
  </si>
  <si>
    <t>し尿処理場</t>
    <rPh sb="1" eb="2">
      <t>ニョウ</t>
    </rPh>
    <rPh sb="2" eb="4">
      <t>ショリ</t>
    </rPh>
    <rPh sb="4" eb="5">
      <t>ジョウ</t>
    </rPh>
    <phoneticPr fontId="2"/>
  </si>
  <si>
    <t>集排処理施設</t>
    <rPh sb="0" eb="2">
      <t>シュウハイ</t>
    </rPh>
    <rPh sb="2" eb="4">
      <t>ショリ</t>
    </rPh>
    <rPh sb="4" eb="6">
      <t>シセツ</t>
    </rPh>
    <phoneticPr fontId="2"/>
  </si>
  <si>
    <t>設備更新費（年価）</t>
    <rPh sb="0" eb="2">
      <t>セツビ</t>
    </rPh>
    <rPh sb="2" eb="4">
      <t>コウシン</t>
    </rPh>
    <rPh sb="4" eb="5">
      <t>ヒ</t>
    </rPh>
    <rPh sb="6" eb="7">
      <t>ネン</t>
    </rPh>
    <rPh sb="7" eb="8">
      <t>カ</t>
    </rPh>
    <phoneticPr fontId="2"/>
  </si>
  <si>
    <t>※主な更新設備は機械設備であるため、年価換算には耐用年数20年を適用した。</t>
    <rPh sb="1" eb="2">
      <t>オモ</t>
    </rPh>
    <rPh sb="3" eb="5">
      <t>コウシン</t>
    </rPh>
    <rPh sb="5" eb="7">
      <t>セツビ</t>
    </rPh>
    <rPh sb="8" eb="10">
      <t>キカイ</t>
    </rPh>
    <rPh sb="10" eb="12">
      <t>セツビ</t>
    </rPh>
    <rPh sb="18" eb="19">
      <t>ネン</t>
    </rPh>
    <rPh sb="19" eb="20">
      <t>カ</t>
    </rPh>
    <rPh sb="20" eb="22">
      <t>カンザン</t>
    </rPh>
    <rPh sb="24" eb="26">
      <t>タイヨウ</t>
    </rPh>
    <rPh sb="26" eb="28">
      <t>ネンスウ</t>
    </rPh>
    <rPh sb="30" eb="31">
      <t>ネン</t>
    </rPh>
    <rPh sb="32" eb="34">
      <t>テキヨウ</t>
    </rPh>
    <phoneticPr fontId="2"/>
  </si>
  <si>
    <t>◆設備更新費・維持管理費（既存）</t>
    <rPh sb="1" eb="3">
      <t>セツビ</t>
    </rPh>
    <rPh sb="3" eb="5">
      <t>コウシン</t>
    </rPh>
    <rPh sb="5" eb="6">
      <t>ヒ</t>
    </rPh>
    <rPh sb="7" eb="9">
      <t>イジ</t>
    </rPh>
    <rPh sb="9" eb="12">
      <t>カンリヒ</t>
    </rPh>
    <rPh sb="13" eb="15">
      <t>キゾン</t>
    </rPh>
    <phoneticPr fontId="2"/>
  </si>
  <si>
    <t>各処理場の実績に基づいた設備更新費及び維持管理費（設備の補修費、電力料金、人件費等）を入力してください。下水処理場については、汚泥処理設備に関わる費用を入力してください。</t>
    <rPh sb="0" eb="1">
      <t>カク</t>
    </rPh>
    <rPh sb="1" eb="4">
      <t>ショリジョウ</t>
    </rPh>
    <rPh sb="5" eb="7">
      <t>ジッセキ</t>
    </rPh>
    <rPh sb="8" eb="9">
      <t>モト</t>
    </rPh>
    <rPh sb="12" eb="14">
      <t>セツビ</t>
    </rPh>
    <rPh sb="14" eb="16">
      <t>コウシン</t>
    </rPh>
    <rPh sb="16" eb="17">
      <t>ヒ</t>
    </rPh>
    <rPh sb="17" eb="18">
      <t>オヨ</t>
    </rPh>
    <rPh sb="19" eb="21">
      <t>イジ</t>
    </rPh>
    <rPh sb="21" eb="24">
      <t>カンリヒ</t>
    </rPh>
    <rPh sb="25" eb="27">
      <t>セツビ</t>
    </rPh>
    <rPh sb="28" eb="30">
      <t>ホシュウ</t>
    </rPh>
    <rPh sb="30" eb="31">
      <t>ヒ</t>
    </rPh>
    <rPh sb="32" eb="34">
      <t>デンリョク</t>
    </rPh>
    <rPh sb="34" eb="36">
      <t>リョウキン</t>
    </rPh>
    <rPh sb="37" eb="40">
      <t>ジンケンヒ</t>
    </rPh>
    <rPh sb="40" eb="41">
      <t>トウ</t>
    </rPh>
    <rPh sb="43" eb="45">
      <t>ニュウリョク</t>
    </rPh>
    <rPh sb="52" eb="54">
      <t>ゲスイ</t>
    </rPh>
    <rPh sb="54" eb="57">
      <t>ショリジョウ</t>
    </rPh>
    <rPh sb="63" eb="65">
      <t>オデイ</t>
    </rPh>
    <rPh sb="65" eb="67">
      <t>ショリ</t>
    </rPh>
    <rPh sb="67" eb="69">
      <t>セツビ</t>
    </rPh>
    <rPh sb="70" eb="71">
      <t>カカ</t>
    </rPh>
    <rPh sb="73" eb="75">
      <t>ヒヨウ</t>
    </rPh>
    <rPh sb="76" eb="78">
      <t>ニュウリョク</t>
    </rPh>
    <phoneticPr fontId="2"/>
  </si>
  <si>
    <t>◆設備更新費・維持管理費（費用関数）</t>
    <rPh sb="1" eb="3">
      <t>セツビ</t>
    </rPh>
    <rPh sb="3" eb="5">
      <t>コウシン</t>
    </rPh>
    <rPh sb="5" eb="6">
      <t>ヒ</t>
    </rPh>
    <rPh sb="7" eb="9">
      <t>イジ</t>
    </rPh>
    <rPh sb="9" eb="12">
      <t>カンリヒ</t>
    </rPh>
    <rPh sb="13" eb="15">
      <t>ヒヨウ</t>
    </rPh>
    <rPh sb="15" eb="17">
      <t>カンスウ</t>
    </rPh>
    <phoneticPr fontId="2"/>
  </si>
  <si>
    <t>各処理場における汚泥処理設備の更新費及び維持管理費を入力してください。</t>
    <phoneticPr fontId="2"/>
  </si>
  <si>
    <t>A市</t>
    <rPh sb="1" eb="2">
      <t>シ</t>
    </rPh>
    <phoneticPr fontId="2"/>
  </si>
  <si>
    <t>B町</t>
    <rPh sb="1" eb="2">
      <t>マチ</t>
    </rPh>
    <phoneticPr fontId="2"/>
  </si>
  <si>
    <t>C町</t>
    <rPh sb="1" eb="2">
      <t>マチ</t>
    </rPh>
    <phoneticPr fontId="2"/>
  </si>
  <si>
    <t>-</t>
  </si>
  <si>
    <t>A市浄化センター</t>
    <rPh sb="1" eb="2">
      <t>シ</t>
    </rPh>
    <rPh sb="2" eb="4">
      <t>ジョウカ</t>
    </rPh>
    <phoneticPr fontId="2"/>
  </si>
  <si>
    <t>B町中央浄化センター</t>
    <rPh sb="1" eb="2">
      <t>マチ</t>
    </rPh>
    <rPh sb="2" eb="4">
      <t>チュウオウ</t>
    </rPh>
    <rPh sb="4" eb="6">
      <t>ジョウカ</t>
    </rPh>
    <phoneticPr fontId="2"/>
  </si>
  <si>
    <t>B町浄化センター</t>
    <rPh sb="1" eb="2">
      <t>マチ</t>
    </rPh>
    <rPh sb="2" eb="4">
      <t>ジョウカ</t>
    </rPh>
    <phoneticPr fontId="2"/>
  </si>
  <si>
    <t>C町西浄化センター</t>
    <rPh sb="1" eb="2">
      <t>マチ</t>
    </rPh>
    <rPh sb="2" eb="3">
      <t>ニシ</t>
    </rPh>
    <rPh sb="3" eb="5">
      <t>ジョウカ</t>
    </rPh>
    <phoneticPr fontId="2"/>
  </si>
  <si>
    <t>C町東浄化センター</t>
    <rPh sb="1" eb="2">
      <t>マチ</t>
    </rPh>
    <rPh sb="2" eb="3">
      <t>ヒガシ</t>
    </rPh>
    <rPh sb="3" eb="5">
      <t>ジョウカ</t>
    </rPh>
    <phoneticPr fontId="2"/>
  </si>
  <si>
    <t>C町中部浄化センター</t>
    <rPh sb="1" eb="2">
      <t>マチ</t>
    </rPh>
    <rPh sb="2" eb="4">
      <t>チュウブ</t>
    </rPh>
    <rPh sb="4" eb="6">
      <t>ジョウカ</t>
    </rPh>
    <phoneticPr fontId="2"/>
  </si>
  <si>
    <t>その他処理場</t>
    <rPh sb="2" eb="3">
      <t>タ</t>
    </rPh>
    <rPh sb="3" eb="6">
      <t>ショリジョウ</t>
    </rPh>
    <phoneticPr fontId="2"/>
  </si>
  <si>
    <t>A市・B町・C町</t>
    <rPh sb="1" eb="2">
      <t>シ</t>
    </rPh>
    <rPh sb="4" eb="5">
      <t>マチ</t>
    </rPh>
    <rPh sb="7" eb="8">
      <t>マチ</t>
    </rPh>
    <phoneticPr fontId="2"/>
  </si>
  <si>
    <r>
      <t>Q：発酵槽容量（m</t>
    </r>
    <r>
      <rPr>
        <vertAlign val="superscript"/>
        <sz val="11"/>
        <color theme="1"/>
        <rFont val="ＭＳ Ｐゴシック"/>
        <family val="3"/>
        <charset val="128"/>
        <scheme val="minor"/>
      </rPr>
      <t>3</t>
    </r>
    <r>
      <rPr>
        <sz val="11"/>
        <color theme="1"/>
        <rFont val="ＭＳ Ｐゴシック"/>
        <family val="3"/>
        <charset val="128"/>
        <scheme val="minor"/>
      </rPr>
      <t>/日）</t>
    </r>
    <rPh sb="2" eb="4">
      <t>ハッコウ</t>
    </rPh>
    <rPh sb="4" eb="5">
      <t>ソウ</t>
    </rPh>
    <rPh sb="5" eb="7">
      <t>ヨウリョウ</t>
    </rPh>
    <phoneticPr fontId="2"/>
  </si>
  <si>
    <t>t-wet/年</t>
    <rPh sb="6" eb="7">
      <t>ネン</t>
    </rPh>
    <phoneticPr fontId="2"/>
  </si>
  <si>
    <t>Q：年間処理脱水汚泥量[t-wet/年]</t>
    <rPh sb="2" eb="4">
      <t>ネンカン</t>
    </rPh>
    <rPh sb="4" eb="6">
      <t>ショリ</t>
    </rPh>
    <rPh sb="6" eb="8">
      <t>ダッスイ</t>
    </rPh>
    <rPh sb="8" eb="10">
      <t>オデイ</t>
    </rPh>
    <rPh sb="10" eb="11">
      <t>リョウ</t>
    </rPh>
    <rPh sb="18" eb="19">
      <t>ネン</t>
    </rPh>
    <phoneticPr fontId="2"/>
  </si>
  <si>
    <t>MW照射装置</t>
    <rPh sb="2" eb="4">
      <t>ショウシャ</t>
    </rPh>
    <rPh sb="4" eb="6">
      <t>ソウチ</t>
    </rPh>
    <phoneticPr fontId="2"/>
  </si>
  <si>
    <t>汚泥活用研究会のアンケート結果・収集運搬距離より費用関数を作成し、算定</t>
    <rPh sb="0" eb="2">
      <t>オデイ</t>
    </rPh>
    <rPh sb="2" eb="4">
      <t>カツヨウ</t>
    </rPh>
    <rPh sb="4" eb="7">
      <t>ケンキュウカイ</t>
    </rPh>
    <rPh sb="13" eb="15">
      <t>ケッカ</t>
    </rPh>
    <rPh sb="16" eb="18">
      <t>シュウシュウ</t>
    </rPh>
    <rPh sb="18" eb="20">
      <t>ウンパン</t>
    </rPh>
    <rPh sb="20" eb="22">
      <t>キョリ</t>
    </rPh>
    <rPh sb="24" eb="26">
      <t>ヒヨウ</t>
    </rPh>
    <rPh sb="26" eb="28">
      <t>カンスウ</t>
    </rPh>
    <rPh sb="29" eb="31">
      <t>サクセイ</t>
    </rPh>
    <rPh sb="33" eb="35">
      <t>サンテイ</t>
    </rPh>
    <phoneticPr fontId="2"/>
  </si>
  <si>
    <t>耐用年数</t>
    <rPh sb="0" eb="2">
      <t>タイヨウ</t>
    </rPh>
    <rPh sb="2" eb="4">
      <t>ネンスウ</t>
    </rPh>
    <phoneticPr fontId="2"/>
  </si>
  <si>
    <t>年</t>
    <rPh sb="0" eb="1">
      <t>ネン</t>
    </rPh>
    <phoneticPr fontId="2"/>
  </si>
  <si>
    <t>◆グラフ作成</t>
    <rPh sb="4" eb="6">
      <t>サクセイ</t>
    </rPh>
    <phoneticPr fontId="2"/>
  </si>
  <si>
    <t>◆グラフ作成</t>
    <rPh sb="4" eb="6">
      <t>サクセイ</t>
    </rPh>
    <phoneticPr fontId="2"/>
  </si>
  <si>
    <t>MW照射装置</t>
    <rPh sb="2" eb="4">
      <t>ショウシャ</t>
    </rPh>
    <rPh sb="4" eb="6">
      <t>ソウチ</t>
    </rPh>
    <phoneticPr fontId="2"/>
  </si>
  <si>
    <t>耐用年数</t>
    <rPh sb="0" eb="2">
      <t>タイヨウ</t>
    </rPh>
    <rPh sb="2" eb="4">
      <t>ネンスウ</t>
    </rPh>
    <phoneticPr fontId="2"/>
  </si>
  <si>
    <t>年</t>
    <rPh sb="0" eb="1">
      <t>ネン</t>
    </rPh>
    <phoneticPr fontId="2"/>
  </si>
  <si>
    <t>既存</t>
  </si>
  <si>
    <t>既存</t>
    <rPh sb="0" eb="2">
      <t>キゾン</t>
    </rPh>
    <phoneticPr fontId="2"/>
  </si>
  <si>
    <t>◆物質収支【日平均】　既存</t>
    <rPh sb="1" eb="3">
      <t>ブッシツ</t>
    </rPh>
    <rPh sb="3" eb="5">
      <t>シュウシ</t>
    </rPh>
    <rPh sb="6" eb="7">
      <t>ニチ</t>
    </rPh>
    <rPh sb="7" eb="9">
      <t>ヘイキン</t>
    </rPh>
    <phoneticPr fontId="2"/>
  </si>
  <si>
    <t>◆物質収支【日最大】　既存</t>
    <rPh sb="1" eb="3">
      <t>ブッシツ</t>
    </rPh>
    <rPh sb="3" eb="5">
      <t>シュウシ</t>
    </rPh>
    <rPh sb="6" eb="7">
      <t>ニチ</t>
    </rPh>
    <rPh sb="7" eb="9">
      <t>サイダイ</t>
    </rPh>
    <phoneticPr fontId="2"/>
  </si>
  <si>
    <t>●基本情報入力【例】：汚泥前処理設備を導入した場合</t>
    <rPh sb="1" eb="3">
      <t>キホン</t>
    </rPh>
    <rPh sb="3" eb="5">
      <t>ジョウホウ</t>
    </rPh>
    <rPh sb="5" eb="7">
      <t>ニュウリョク</t>
    </rPh>
    <rPh sb="8" eb="9">
      <t>レイ</t>
    </rPh>
    <phoneticPr fontId="2"/>
  </si>
  <si>
    <t>千円/t・千円/kl</t>
    <rPh sb="0" eb="1">
      <t>セン</t>
    </rPh>
    <rPh sb="1" eb="2">
      <t>エン</t>
    </rPh>
    <rPh sb="5" eb="7">
      <t>センエン</t>
    </rPh>
    <phoneticPr fontId="2"/>
  </si>
  <si>
    <t>表中の着色部（メタンガス濃度、発酵温度、加温温度など）については、より実態に即した検討を行いたい場合に変更してください。
1cal=4.184J</t>
    <rPh sb="12" eb="14">
      <t>ノウド</t>
    </rPh>
    <rPh sb="15" eb="17">
      <t>ハッコウ</t>
    </rPh>
    <rPh sb="17" eb="19">
      <t>オンド</t>
    </rPh>
    <rPh sb="20" eb="22">
      <t>カオン</t>
    </rPh>
    <rPh sb="22" eb="24">
      <t>オンド</t>
    </rPh>
    <phoneticPr fontId="2"/>
  </si>
  <si>
    <t>：下水道汚泥、農業集落排水汚泥　厨芥類：1～2日</t>
    <phoneticPr fontId="2"/>
  </si>
  <si>
    <t>　　</t>
    <phoneticPr fontId="2"/>
  </si>
  <si>
    <t>貯留日数は、混合バイオマスメタン発酵施設を導入している事例における能力設定の考え方に基づき、設定している。
詳細については「メタン活用いしかわモデル導入の手引き , P.178 , 資料8施設能力設定の考え方」に記載。</t>
    <rPh sb="0" eb="2">
      <t>チョリュウ</t>
    </rPh>
    <rPh sb="2" eb="4">
      <t>ニッスウ</t>
    </rPh>
    <rPh sb="6" eb="8">
      <t>コンゴウ</t>
    </rPh>
    <rPh sb="16" eb="18">
      <t>ハッコウ</t>
    </rPh>
    <rPh sb="18" eb="20">
      <t>シセツ</t>
    </rPh>
    <rPh sb="21" eb="23">
      <t>ドウニュウ</t>
    </rPh>
    <rPh sb="27" eb="29">
      <t>ジレイ</t>
    </rPh>
    <rPh sb="33" eb="35">
      <t>ノウリョク</t>
    </rPh>
    <rPh sb="35" eb="37">
      <t>セッテイ</t>
    </rPh>
    <rPh sb="38" eb="39">
      <t>カンガ</t>
    </rPh>
    <rPh sb="40" eb="41">
      <t>カタ</t>
    </rPh>
    <rPh sb="42" eb="43">
      <t>モト</t>
    </rPh>
    <rPh sb="46" eb="48">
      <t>セッテイ</t>
    </rPh>
    <rPh sb="54" eb="56">
      <t>ショウサイ</t>
    </rPh>
    <rPh sb="65" eb="67">
      <t>カツヨウ</t>
    </rPh>
    <rPh sb="74" eb="76">
      <t>ドウニュウ</t>
    </rPh>
    <rPh sb="77" eb="79">
      <t>テビ</t>
    </rPh>
    <rPh sb="91" eb="93">
      <t>シリョウ</t>
    </rPh>
    <rPh sb="94" eb="96">
      <t>シセツ</t>
    </rPh>
    <rPh sb="96" eb="98">
      <t>ノウリョク</t>
    </rPh>
    <rPh sb="98" eb="100">
      <t>セッテイ</t>
    </rPh>
    <rPh sb="101" eb="102">
      <t>カンガ</t>
    </rPh>
    <rPh sb="103" eb="104">
      <t>カタ</t>
    </rPh>
    <rPh sb="106" eb="108">
      <t>キサイ</t>
    </rPh>
    <phoneticPr fontId="2"/>
  </si>
  <si>
    <t>（１）本ツールについて</t>
    <phoneticPr fontId="2"/>
  </si>
  <si>
    <t>（２）本ツールの前提条件について</t>
    <phoneticPr fontId="2"/>
  </si>
  <si>
    <t>　「メタン活用いしかわモデル」とは、複数の下水処理場から発生する汚泥を脱水汚泥の状態で集約することにより、収集運搬コストの削減を図るとともに、し尿やその他のバイオマスを１つの処理場で集約処理することで、メタン発酵設備の小型化・ガス発生量の増大等を図る「小規模下水処理場向け混合バイオマスメタン発酵システム」です。
　本ツールは費用関数を用いて事業費を概算し、「メタン活用いしかわモデル」の導入可能性検討の一助となることを目的としています。概算検討により、良好な結果が得られた場合には「メタン活用いしかわモデル導入の手引き」を参考に、より具体的な検討がなされますことを期待しております。</t>
    <rPh sb="220" eb="222">
      <t>ガイサン</t>
    </rPh>
    <rPh sb="269" eb="272">
      <t>グタイテキ</t>
    </rPh>
    <phoneticPr fontId="2"/>
  </si>
  <si>
    <t xml:space="preserve">各設備の建設費（更新費）及び維持管理費の算定範囲は濃縮設備以降を対象とする。
</t>
    <phoneticPr fontId="2"/>
  </si>
  <si>
    <t>・</t>
    <phoneticPr fontId="2"/>
  </si>
  <si>
    <t>・</t>
    <phoneticPr fontId="2"/>
  </si>
  <si>
    <t>各設備の建設費（更新費）及び維持管理費は「メタン活用いしかわモデル導入の手引き」に示されている費用関数から算定する。</t>
    <phoneticPr fontId="2"/>
  </si>
  <si>
    <t>・</t>
    <phoneticPr fontId="2"/>
  </si>
  <si>
    <t>下水道施設の建設費（更新費）に係る補助率は0.55、ごみ処理施設の建設費（更新費）に係る補助率は0.33とする。</t>
    <phoneticPr fontId="2"/>
  </si>
  <si>
    <t>下水道事業債等の充当までは考慮していない。</t>
    <phoneticPr fontId="2"/>
  </si>
  <si>
    <t xml:space="preserve">生ごみの建設費は、下水道施設受入によるごみ処理施設の規模縮減分を計上する。
</t>
    <phoneticPr fontId="2"/>
  </si>
  <si>
    <t>「メタン活用いしかわモデル」を導入した条件では、既存の汚泥処分設備（焼却設備）、し尿処理施設は廃止するものと仮定する。</t>
    <phoneticPr fontId="2"/>
  </si>
  <si>
    <t>汚泥前処理設備（MW照射装置）に掛かる建設費等のコストは、中能登町の鹿島中部クリーンセンターにおける実績値のみで作成した費用関数により、算定する。</t>
    <phoneticPr fontId="2"/>
  </si>
  <si>
    <t>（３）本ツールの使い方</t>
    <phoneticPr fontId="2"/>
  </si>
  <si>
    <t>・</t>
    <phoneticPr fontId="2"/>
  </si>
  <si>
    <t xml:space="preserve">実績値が確認できない場合は類似事例もしくは参考値を入力する。
</t>
    <phoneticPr fontId="2"/>
  </si>
  <si>
    <t xml:space="preserve">【算定例】に、【基本情報入力】及び【算定結果】の例を示す。
</t>
    <phoneticPr fontId="2"/>
  </si>
  <si>
    <t>上記の入力により、【算定結果】に既存処理体系及び「メタン活用いしかわモデル」導入時の事業費が算出される。</t>
    <phoneticPr fontId="2"/>
  </si>
  <si>
    <t>ガスホルダ</t>
    <phoneticPr fontId="2"/>
  </si>
  <si>
    <t>メンブレン式</t>
    <rPh sb="5" eb="6">
      <t>シキ</t>
    </rPh>
    <phoneticPr fontId="2"/>
  </si>
  <si>
    <t>土木</t>
    <rPh sb="0" eb="2">
      <t>ドボク</t>
    </rPh>
    <phoneticPr fontId="2"/>
  </si>
  <si>
    <t>脱臭設備</t>
    <rPh sb="0" eb="2">
      <t>ダッシュウ</t>
    </rPh>
    <rPh sb="2" eb="4">
      <t>セツビ</t>
    </rPh>
    <phoneticPr fontId="2"/>
  </si>
  <si>
    <t>監視制御システム</t>
    <rPh sb="0" eb="2">
      <t>カンシ</t>
    </rPh>
    <rPh sb="2" eb="4">
      <t>セイギョ</t>
    </rPh>
    <phoneticPr fontId="2"/>
  </si>
  <si>
    <t>活性炭＋生物脱臭</t>
    <rPh sb="0" eb="3">
      <t>カッセイタン</t>
    </rPh>
    <rPh sb="4" eb="6">
      <t>セイブツ</t>
    </rPh>
    <rPh sb="6" eb="8">
      <t>ダッシュウ</t>
    </rPh>
    <phoneticPr fontId="2"/>
  </si>
  <si>
    <t>機械設備</t>
    <rPh sb="0" eb="2">
      <t>キカイ</t>
    </rPh>
    <rPh sb="2" eb="4">
      <t>セツビ</t>
    </rPh>
    <phoneticPr fontId="2"/>
  </si>
  <si>
    <t>電気設備</t>
    <rPh sb="0" eb="2">
      <t>デンキ</t>
    </rPh>
    <rPh sb="2" eb="4">
      <t>セツビ</t>
    </rPh>
    <phoneticPr fontId="2"/>
  </si>
  <si>
    <t>発電設備</t>
    <rPh sb="0" eb="2">
      <t>ハツデン</t>
    </rPh>
    <rPh sb="2" eb="4">
      <t>セツビ</t>
    </rPh>
    <phoneticPr fontId="2"/>
  </si>
  <si>
    <t>ガスエンジン</t>
    <phoneticPr fontId="2"/>
  </si>
  <si>
    <t>汚泥脱水設備</t>
    <rPh sb="0" eb="2">
      <t>オデイ</t>
    </rPh>
    <rPh sb="2" eb="4">
      <t>ダッスイ</t>
    </rPh>
    <rPh sb="4" eb="6">
      <t>セツビ</t>
    </rPh>
    <phoneticPr fontId="2"/>
  </si>
  <si>
    <t>高分子系</t>
    <rPh sb="0" eb="3">
      <t>コウブンシ</t>
    </rPh>
    <rPh sb="3" eb="4">
      <t>ケイ</t>
    </rPh>
    <phoneticPr fontId="2"/>
  </si>
  <si>
    <t>Q：消化ガス量(㎥/日)　3000≦Q(㎥/日)≦30,000</t>
    <rPh sb="2" eb="4">
      <t>ショウカ</t>
    </rPh>
    <rPh sb="6" eb="7">
      <t>リョウ</t>
    </rPh>
    <rPh sb="10" eb="11">
      <t>ニチ</t>
    </rPh>
    <rPh sb="22" eb="23">
      <t>ニチ</t>
    </rPh>
    <phoneticPr fontId="2"/>
  </si>
  <si>
    <t>遠心</t>
    <rPh sb="0" eb="2">
      <t>エンシン</t>
    </rPh>
    <phoneticPr fontId="2"/>
  </si>
  <si>
    <t>マイクロガスタービン</t>
    <phoneticPr fontId="2"/>
  </si>
  <si>
    <t>25kwガスエンジン</t>
    <phoneticPr fontId="2"/>
  </si>
  <si>
    <t>補修費</t>
    <rPh sb="0" eb="2">
      <t>ホシュウ</t>
    </rPh>
    <rPh sb="2" eb="3">
      <t>ヒ</t>
    </rPh>
    <phoneticPr fontId="2"/>
  </si>
  <si>
    <t>維持管理費</t>
    <rPh sb="0" eb="2">
      <t>イジ</t>
    </rPh>
    <rPh sb="2" eb="5">
      <t>カンリヒ</t>
    </rPh>
    <phoneticPr fontId="2"/>
  </si>
  <si>
    <t>費用関数</t>
    <rPh sb="0" eb="4">
      <t>ヒヨウカンスウ</t>
    </rPh>
    <phoneticPr fontId="2"/>
  </si>
  <si>
    <r>
      <t>Y＝0.334×Q</t>
    </r>
    <r>
      <rPr>
        <vertAlign val="superscript"/>
        <sz val="11"/>
        <color theme="1"/>
        <rFont val="ＭＳ Ｐゴシック"/>
        <family val="3"/>
        <charset val="128"/>
        <scheme val="minor"/>
      </rPr>
      <t>0.668</t>
    </r>
    <phoneticPr fontId="2"/>
  </si>
  <si>
    <t>1台当たり、1,054千円</t>
    <rPh sb="1" eb="2">
      <t>ダイ</t>
    </rPh>
    <rPh sb="2" eb="3">
      <t>ア</t>
    </rPh>
    <rPh sb="11" eb="13">
      <t>センエン</t>
    </rPh>
    <phoneticPr fontId="2"/>
  </si>
  <si>
    <t>Q：発電量(kMh/日)</t>
    <rPh sb="2" eb="4">
      <t>ハツデン</t>
    </rPh>
    <rPh sb="4" eb="5">
      <t>リョウ</t>
    </rPh>
    <rPh sb="10" eb="11">
      <t>ニチ</t>
    </rPh>
    <phoneticPr fontId="2"/>
  </si>
  <si>
    <t>1～10台設置まで</t>
    <rPh sb="4" eb="5">
      <t>ダイ</t>
    </rPh>
    <rPh sb="5" eb="7">
      <t>セッチ</t>
    </rPh>
    <phoneticPr fontId="2"/>
  </si>
  <si>
    <t>kMh/日</t>
  </si>
  <si>
    <t>Y＝1.3132Q</t>
    <phoneticPr fontId="2"/>
  </si>
  <si>
    <t>Y＝0.0263Q+5.8284</t>
    <phoneticPr fontId="2"/>
  </si>
  <si>
    <r>
      <t>Y＝188.8×Q</t>
    </r>
    <r>
      <rPr>
        <vertAlign val="superscript"/>
        <sz val="11"/>
        <color theme="1"/>
        <rFont val="ＭＳ Ｐゴシック"/>
        <family val="3"/>
        <charset val="128"/>
        <scheme val="minor"/>
      </rPr>
      <t>0.597</t>
    </r>
    <phoneticPr fontId="2"/>
  </si>
  <si>
    <r>
      <t>Y＝72.6×Q</t>
    </r>
    <r>
      <rPr>
        <vertAlign val="superscript"/>
        <sz val="11"/>
        <color theme="1"/>
        <rFont val="ＭＳ Ｐゴシック"/>
        <family val="3"/>
        <charset val="128"/>
        <scheme val="minor"/>
      </rPr>
      <t>0.539</t>
    </r>
    <phoneticPr fontId="2"/>
  </si>
  <si>
    <r>
      <t>Y＝136.1×Q</t>
    </r>
    <r>
      <rPr>
        <vertAlign val="superscript"/>
        <sz val="11"/>
        <color theme="1"/>
        <rFont val="ＭＳ Ｐゴシック"/>
        <family val="3"/>
        <charset val="128"/>
        <scheme val="minor"/>
      </rPr>
      <t>0.380</t>
    </r>
    <phoneticPr fontId="2"/>
  </si>
  <si>
    <r>
      <t>Y＝0.030×Q</t>
    </r>
    <r>
      <rPr>
        <vertAlign val="superscript"/>
        <sz val="11"/>
        <color theme="1"/>
        <rFont val="ＭＳ Ｐゴシック"/>
        <family val="3"/>
        <charset val="128"/>
        <scheme val="minor"/>
      </rPr>
      <t>0.628</t>
    </r>
    <phoneticPr fontId="2"/>
  </si>
  <si>
    <r>
      <t>Y＝0.661×Q</t>
    </r>
    <r>
      <rPr>
        <vertAlign val="superscript"/>
        <sz val="11"/>
        <color theme="1"/>
        <rFont val="ＭＳ Ｐゴシック"/>
        <family val="3"/>
        <charset val="128"/>
        <scheme val="minor"/>
      </rPr>
      <t>0.573</t>
    </r>
    <phoneticPr fontId="2"/>
  </si>
  <si>
    <r>
      <t>Y＝0.283×Q</t>
    </r>
    <r>
      <rPr>
        <vertAlign val="superscript"/>
        <sz val="11"/>
        <color theme="1"/>
        <rFont val="ＭＳ Ｐゴシック"/>
        <family val="3"/>
        <charset val="128"/>
        <scheme val="minor"/>
      </rPr>
      <t>0.302</t>
    </r>
    <phoneticPr fontId="2"/>
  </si>
  <si>
    <r>
      <t>Y＝0.0796×Q</t>
    </r>
    <r>
      <rPr>
        <vertAlign val="superscript"/>
        <sz val="11"/>
        <color theme="1"/>
        <rFont val="ＭＳ Ｐゴシック"/>
        <family val="3"/>
        <charset val="128"/>
        <scheme val="minor"/>
      </rPr>
      <t>0.761</t>
    </r>
    <phoneticPr fontId="2"/>
  </si>
  <si>
    <r>
      <t>Y＝230×Q</t>
    </r>
    <r>
      <rPr>
        <vertAlign val="superscript"/>
        <sz val="11"/>
        <color theme="1"/>
        <rFont val="ＭＳ Ｐゴシック"/>
        <family val="3"/>
        <charset val="128"/>
        <scheme val="minor"/>
      </rPr>
      <t>0.0949</t>
    </r>
    <phoneticPr fontId="2"/>
  </si>
  <si>
    <r>
      <t>Y＝3.05×Q</t>
    </r>
    <r>
      <rPr>
        <vertAlign val="superscript"/>
        <sz val="11"/>
        <color theme="1"/>
        <rFont val="ＭＳ Ｐゴシック"/>
        <family val="3"/>
        <charset val="128"/>
        <scheme val="minor"/>
      </rPr>
      <t>0.195</t>
    </r>
    <phoneticPr fontId="2"/>
  </si>
  <si>
    <r>
      <t>Y＝0.287×Q</t>
    </r>
    <r>
      <rPr>
        <vertAlign val="superscript"/>
        <sz val="11"/>
        <color theme="1"/>
        <rFont val="ＭＳ Ｐゴシック"/>
        <family val="3"/>
        <charset val="128"/>
        <scheme val="minor"/>
      </rPr>
      <t>0.673</t>
    </r>
    <phoneticPr fontId="2"/>
  </si>
  <si>
    <t>発酵槽</t>
    <rPh sb="0" eb="3">
      <t>ハッコウソウ</t>
    </rPh>
    <phoneticPr fontId="2"/>
  </si>
  <si>
    <t>Ｑ：バイオマス処理量１%換算値(㎥/日)</t>
  </si>
  <si>
    <t>Ｑ：バイオマス処理量１%換算値(㎥/日)</t>
    <rPh sb="7" eb="9">
      <t>ショリ</t>
    </rPh>
    <rPh sb="9" eb="10">
      <t>リョウ</t>
    </rPh>
    <rPh sb="12" eb="14">
      <t>カンサン</t>
    </rPh>
    <rPh sb="14" eb="15">
      <t>チ</t>
    </rPh>
    <rPh sb="18" eb="19">
      <t>ニチ</t>
    </rPh>
    <phoneticPr fontId="2"/>
  </si>
  <si>
    <r>
      <t>｢下水道維持管理指針　後編</t>
    </r>
    <r>
      <rPr>
        <sz val="11"/>
        <color rgb="FF000000"/>
        <rFont val="Calibri"/>
        <family val="2"/>
      </rPr>
      <t>-2003</t>
    </r>
    <r>
      <rPr>
        <sz val="11"/>
        <color rgb="FF000000"/>
        <rFont val="ＭＳ Ｐゴシック"/>
        <family val="3"/>
        <charset val="128"/>
        <scheme val="minor"/>
      </rPr>
      <t>年版</t>
    </r>
    <r>
      <rPr>
        <sz val="11"/>
        <color rgb="FF000000"/>
        <rFont val="Calibri"/>
        <family val="2"/>
      </rPr>
      <t>-</t>
    </r>
    <r>
      <rPr>
        <sz val="11"/>
        <color rgb="FF000000"/>
        <rFont val="ＭＳ Ｐゴシック"/>
        <family val="3"/>
        <charset val="128"/>
        <scheme val="minor"/>
      </rPr>
      <t>｣（社）日本下水道協会</t>
    </r>
    <phoneticPr fontId="2"/>
  </si>
  <si>
    <t>｢活性炭触媒再利用を考慮した鶏糞の超臨界水ガス化によるエネルギー転換システムとその経済性｣柳田高志ほか</t>
    <phoneticPr fontId="2"/>
  </si>
  <si>
    <r>
      <t xml:space="preserve"> </t>
    </r>
    <r>
      <rPr>
        <sz val="11"/>
        <color rgb="FF000000"/>
        <rFont val="ＭＳ Ｐゴシック"/>
        <family val="3"/>
        <charset val="128"/>
        <scheme val="minor"/>
      </rPr>
      <t>財団法人畜産環境整備機構</t>
    </r>
    <r>
      <rPr>
        <sz val="11"/>
        <color rgb="FF000000"/>
        <rFont val="Calibri"/>
        <family val="2"/>
      </rPr>
      <t>(2001)</t>
    </r>
    <r>
      <rPr>
        <sz val="11"/>
        <color rgb="FF000000"/>
        <rFont val="ＭＳ Ｐゴシック"/>
        <family val="3"/>
        <charset val="128"/>
        <scheme val="minor"/>
      </rPr>
      <t>家畜排せつ物を中心としたメタン発酵処理施設に関する手引き</t>
    </r>
    <r>
      <rPr>
        <sz val="11"/>
        <color rgb="FF000000"/>
        <rFont val="Calibri"/>
        <family val="2"/>
      </rPr>
      <t xml:space="preserve"> </t>
    </r>
    <phoneticPr fontId="2"/>
  </si>
  <si>
    <t>発電量(kWh/年)</t>
    <rPh sb="0" eb="2">
      <t>ハツデン</t>
    </rPh>
    <rPh sb="2" eb="3">
      <t>リョウ</t>
    </rPh>
    <rPh sb="8" eb="9">
      <t>ネン</t>
    </rPh>
    <phoneticPr fontId="2"/>
  </si>
  <si>
    <t>発電量(kWh/年)</t>
    <rPh sb="0" eb="2">
      <t>ハツデン</t>
    </rPh>
    <rPh sb="2" eb="3">
      <t>リョウ</t>
    </rPh>
    <phoneticPr fontId="2"/>
  </si>
  <si>
    <t>H30年度石川県実施設計労務・資材単価</t>
    <phoneticPr fontId="2"/>
  </si>
  <si>
    <r>
      <t>珠洲市バイオマスメタン発酵施設運転実績（</t>
    </r>
    <r>
      <rPr>
        <sz val="11"/>
        <color rgb="FF000000"/>
        <rFont val="Calibri"/>
        <family val="2"/>
      </rPr>
      <t>H22</t>
    </r>
    <r>
      <rPr>
        <sz val="11"/>
        <color rgb="FF000000"/>
        <rFont val="ＭＳ Ｐゴシック"/>
        <family val="3"/>
        <charset val="128"/>
        <scheme val="minor"/>
      </rPr>
      <t>年度実績）</t>
    </r>
    <phoneticPr fontId="2"/>
  </si>
  <si>
    <t>項目</t>
    <rPh sb="0" eb="2">
      <t>コウモク</t>
    </rPh>
    <phoneticPr fontId="2"/>
  </si>
  <si>
    <t>発電機</t>
    <rPh sb="0" eb="3">
      <t>ハツデンキ</t>
    </rPh>
    <phoneticPr fontId="2"/>
  </si>
  <si>
    <t>①</t>
    <phoneticPr fontId="2"/>
  </si>
  <si>
    <t>〇</t>
  </si>
  <si>
    <t>乾燥機</t>
    <rPh sb="0" eb="2">
      <t>カンソウ</t>
    </rPh>
    <rPh sb="2" eb="3">
      <t>キ</t>
    </rPh>
    <phoneticPr fontId="2"/>
  </si>
  <si>
    <t>備考</t>
    <rPh sb="0" eb="2">
      <t>ビコウ</t>
    </rPh>
    <phoneticPr fontId="2"/>
  </si>
  <si>
    <r>
      <t>Ｙ＝1.31×Q</t>
    </r>
    <r>
      <rPr>
        <vertAlign val="superscript"/>
        <sz val="11"/>
        <color theme="1"/>
        <rFont val="ＭＳ Ｐゴシック"/>
        <family val="3"/>
        <charset val="128"/>
        <scheme val="minor"/>
      </rPr>
      <t>0.611</t>
    </r>
    <phoneticPr fontId="2"/>
  </si>
  <si>
    <r>
      <t>Ｙ＝1.24×Q</t>
    </r>
    <r>
      <rPr>
        <vertAlign val="superscript"/>
        <sz val="11"/>
        <color theme="1"/>
        <rFont val="ＭＳ Ｐゴシック"/>
        <family val="3"/>
        <charset val="128"/>
        <scheme val="minor"/>
      </rPr>
      <t>0.598</t>
    </r>
    <phoneticPr fontId="2"/>
  </si>
  <si>
    <r>
      <t>Ｙ＝22.7×Q</t>
    </r>
    <r>
      <rPr>
        <vertAlign val="superscript"/>
        <sz val="11"/>
        <color theme="1"/>
        <rFont val="ＭＳ Ｐゴシック"/>
        <family val="3"/>
        <charset val="128"/>
        <scheme val="minor"/>
      </rPr>
      <t>0.444</t>
    </r>
    <phoneticPr fontId="2"/>
  </si>
  <si>
    <r>
      <t>Ｙ＝43.4×Q</t>
    </r>
    <r>
      <rPr>
        <vertAlign val="superscript"/>
        <sz val="11"/>
        <color theme="1"/>
        <rFont val="ＭＳ Ｐゴシック"/>
        <family val="3"/>
        <charset val="128"/>
        <scheme val="minor"/>
      </rPr>
      <t>0.373</t>
    </r>
    <phoneticPr fontId="2"/>
  </si>
  <si>
    <r>
      <t>Ｙ＝17.8×Q</t>
    </r>
    <r>
      <rPr>
        <vertAlign val="superscript"/>
        <sz val="11"/>
        <color theme="1"/>
        <rFont val="ＭＳ Ｐゴシック"/>
        <family val="3"/>
        <charset val="128"/>
        <scheme val="minor"/>
      </rPr>
      <t>0.464</t>
    </r>
    <phoneticPr fontId="2"/>
  </si>
  <si>
    <r>
      <t>Ｙ＝0.030×Q</t>
    </r>
    <r>
      <rPr>
        <vertAlign val="superscript"/>
        <sz val="11"/>
        <color theme="1"/>
        <rFont val="ＭＳ Ｐゴシック"/>
        <family val="3"/>
        <charset val="128"/>
        <scheme val="minor"/>
      </rPr>
      <t>0.628</t>
    </r>
    <phoneticPr fontId="2"/>
  </si>
  <si>
    <r>
      <t>Ｙ＝-0.087Q</t>
    </r>
    <r>
      <rPr>
        <vertAlign val="superscript"/>
        <sz val="11"/>
        <color theme="1"/>
        <rFont val="ＭＳ Ｐゴシック"/>
        <family val="3"/>
        <charset val="128"/>
        <scheme val="minor"/>
      </rPr>
      <t>2</t>
    </r>
    <r>
      <rPr>
        <sz val="11"/>
        <color theme="1"/>
        <rFont val="ＭＳ Ｐゴシック"/>
        <family val="3"/>
        <charset val="128"/>
        <scheme val="minor"/>
      </rPr>
      <t>+59.53Q+258</t>
    </r>
    <phoneticPr fontId="2"/>
  </si>
  <si>
    <r>
      <t>Ｙ＝10.4×Q</t>
    </r>
    <r>
      <rPr>
        <vertAlign val="superscript"/>
        <sz val="11"/>
        <color theme="1"/>
        <rFont val="ＭＳ Ｐゴシック"/>
        <family val="3"/>
        <charset val="128"/>
        <scheme val="minor"/>
      </rPr>
      <t>0.437</t>
    </r>
    <phoneticPr fontId="2"/>
  </si>
  <si>
    <r>
      <t>Ｙ＝0.878×Q</t>
    </r>
    <r>
      <rPr>
        <vertAlign val="superscript"/>
        <sz val="11"/>
        <color theme="1"/>
        <rFont val="ＭＳ Ｐゴシック"/>
        <family val="3"/>
        <charset val="128"/>
        <scheme val="minor"/>
      </rPr>
      <t>0.761</t>
    </r>
    <phoneticPr fontId="2"/>
  </si>
  <si>
    <t>Ｙ＝1.3132Q</t>
    <phoneticPr fontId="2"/>
  </si>
  <si>
    <t>Ｙ＝0.0263Q+5.8284</t>
    <phoneticPr fontId="2"/>
  </si>
  <si>
    <r>
      <t>Ｙ＝188.8×Q</t>
    </r>
    <r>
      <rPr>
        <vertAlign val="superscript"/>
        <sz val="11"/>
        <color theme="1"/>
        <rFont val="ＭＳ Ｐゴシック"/>
        <family val="3"/>
        <charset val="128"/>
        <scheme val="minor"/>
      </rPr>
      <t>0.597</t>
    </r>
    <phoneticPr fontId="2"/>
  </si>
  <si>
    <r>
      <t>Ｙ＝72.6×Q</t>
    </r>
    <r>
      <rPr>
        <vertAlign val="superscript"/>
        <sz val="11"/>
        <color theme="1"/>
        <rFont val="ＭＳ Ｐゴシック"/>
        <family val="3"/>
        <charset val="128"/>
        <scheme val="minor"/>
      </rPr>
      <t>0.539</t>
    </r>
    <phoneticPr fontId="2"/>
  </si>
  <si>
    <r>
      <t>Ｙ＝136.1×Q</t>
    </r>
    <r>
      <rPr>
        <vertAlign val="superscript"/>
        <sz val="11"/>
        <color theme="1"/>
        <rFont val="ＭＳ Ｐゴシック"/>
        <family val="3"/>
        <charset val="128"/>
        <scheme val="minor"/>
      </rPr>
      <t>0.380</t>
    </r>
    <phoneticPr fontId="2"/>
  </si>
  <si>
    <r>
      <t>Ｙ＝0.283×Q</t>
    </r>
    <r>
      <rPr>
        <vertAlign val="superscript"/>
        <sz val="11"/>
        <color theme="1"/>
        <rFont val="ＭＳ Ｐゴシック"/>
        <family val="3"/>
        <charset val="128"/>
        <scheme val="minor"/>
      </rPr>
      <t>0.302</t>
    </r>
    <phoneticPr fontId="2"/>
  </si>
  <si>
    <r>
      <t>Ｙ＝0.0796×Q</t>
    </r>
    <r>
      <rPr>
        <vertAlign val="superscript"/>
        <sz val="11"/>
        <color theme="1"/>
        <rFont val="ＭＳ Ｐゴシック"/>
        <family val="3"/>
        <charset val="128"/>
        <scheme val="minor"/>
      </rPr>
      <t>0.761</t>
    </r>
    <phoneticPr fontId="2"/>
  </si>
  <si>
    <t>Ｙ＝0.0579Q</t>
    <phoneticPr fontId="2"/>
  </si>
  <si>
    <r>
      <t>Ｙ＝0.287×Q</t>
    </r>
    <r>
      <rPr>
        <vertAlign val="superscript"/>
        <sz val="11"/>
        <color theme="1"/>
        <rFont val="ＭＳ Ｐゴシック"/>
        <family val="3"/>
        <charset val="128"/>
        <scheme val="minor"/>
      </rPr>
      <t>0.673</t>
    </r>
    <phoneticPr fontId="2"/>
  </si>
  <si>
    <t>ガスエンジン</t>
    <phoneticPr fontId="2"/>
  </si>
  <si>
    <t>発電設備</t>
    <rPh sb="0" eb="2">
      <t>ハツデン</t>
    </rPh>
    <rPh sb="2" eb="4">
      <t>セツビ</t>
    </rPh>
    <phoneticPr fontId="2"/>
  </si>
  <si>
    <t>脱臭設備</t>
    <rPh sb="0" eb="2">
      <t>ダッシュウ</t>
    </rPh>
    <rPh sb="2" eb="4">
      <t>セツビ</t>
    </rPh>
    <phoneticPr fontId="2"/>
  </si>
  <si>
    <t>監視制御システム</t>
    <rPh sb="0" eb="2">
      <t>カンシ</t>
    </rPh>
    <rPh sb="2" eb="4">
      <t>セイギョ</t>
    </rPh>
    <phoneticPr fontId="2"/>
  </si>
  <si>
    <t>ガスエンジン</t>
    <phoneticPr fontId="2"/>
  </si>
  <si>
    <t>機械設備</t>
    <rPh sb="0" eb="2">
      <t>キカイ</t>
    </rPh>
    <rPh sb="2" eb="4">
      <t>セツビ</t>
    </rPh>
    <phoneticPr fontId="2"/>
  </si>
  <si>
    <t>電気設備</t>
    <rPh sb="0" eb="2">
      <t>デンキ</t>
    </rPh>
    <rPh sb="2" eb="4">
      <t>セツビ</t>
    </rPh>
    <phoneticPr fontId="2"/>
  </si>
  <si>
    <t>単価×Ｑ</t>
    <rPh sb="0" eb="2">
      <t>タンカ</t>
    </rPh>
    <phoneticPr fontId="2"/>
  </si>
  <si>
    <t>メンブレン式</t>
    <rPh sb="5" eb="6">
      <t>シキ</t>
    </rPh>
    <phoneticPr fontId="2"/>
  </si>
  <si>
    <t>土木</t>
    <rPh sb="0" eb="2">
      <t>ドボク</t>
    </rPh>
    <phoneticPr fontId="2"/>
  </si>
  <si>
    <t>単価×Ｑ</t>
    <rPh sb="0" eb="2">
      <t>タンカ</t>
    </rPh>
    <phoneticPr fontId="2"/>
  </si>
  <si>
    <t>単価×Ｑ</t>
    <rPh sb="0" eb="3">
      <t>タンカカケル</t>
    </rPh>
    <phoneticPr fontId="2"/>
  </si>
  <si>
    <t>単価×Ｑ</t>
    <rPh sb="0" eb="3">
      <t>タンカカケル</t>
    </rPh>
    <phoneticPr fontId="2"/>
  </si>
  <si>
    <t>遠心</t>
    <rPh sb="0" eb="2">
      <t>エンシン</t>
    </rPh>
    <phoneticPr fontId="2"/>
  </si>
  <si>
    <t>マイクロガスタービン</t>
    <phoneticPr fontId="2"/>
  </si>
  <si>
    <t>25kwガスエンジン</t>
    <phoneticPr fontId="2"/>
  </si>
  <si>
    <t>Q：発電量(kMh/日)</t>
  </si>
  <si>
    <t>1～10台設置まで</t>
  </si>
  <si>
    <t>高分子系</t>
    <rPh sb="0" eb="3">
      <t>コウブンシ</t>
    </rPh>
    <rPh sb="3" eb="4">
      <t>ケイ</t>
    </rPh>
    <phoneticPr fontId="2"/>
  </si>
  <si>
    <r>
      <t>Ｑ：汚泥処理量[1%濃度換算値）（m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オデイ</t>
    </rPh>
    <rPh sb="4" eb="6">
      <t>ショリ</t>
    </rPh>
    <rPh sb="6" eb="7">
      <t>リョウ</t>
    </rPh>
    <rPh sb="20" eb="21">
      <t>ニチ</t>
    </rPh>
    <phoneticPr fontId="2"/>
  </si>
  <si>
    <t>灯油単価79円/Ｌ　H30年度石川県実施設計労務・資材単価</t>
    <rPh sb="0" eb="2">
      <t>トウユ</t>
    </rPh>
    <rPh sb="2" eb="4">
      <t>タンカ</t>
    </rPh>
    <rPh sb="6" eb="7">
      <t>エン</t>
    </rPh>
    <rPh sb="13" eb="15">
      <t>ネンド</t>
    </rPh>
    <rPh sb="15" eb="18">
      <t>イシカワケン</t>
    </rPh>
    <rPh sb="18" eb="20">
      <t>ジッシ</t>
    </rPh>
    <rPh sb="20" eb="22">
      <t>セッケイ</t>
    </rPh>
    <rPh sb="22" eb="24">
      <t>ロウム</t>
    </rPh>
    <rPh sb="25" eb="27">
      <t>シザイ</t>
    </rPh>
    <rPh sb="27" eb="29">
      <t>タンカ</t>
    </rPh>
    <phoneticPr fontId="2"/>
  </si>
  <si>
    <t>活性炭＋生物脱臭</t>
    <rPh sb="0" eb="3">
      <t>カッセイタン</t>
    </rPh>
    <rPh sb="4" eb="6">
      <t>セイブツ</t>
    </rPh>
    <rPh sb="6" eb="8">
      <t>ダッシュウ</t>
    </rPh>
    <phoneticPr fontId="2"/>
  </si>
  <si>
    <r>
      <t>Ｙ＝230×Q</t>
    </r>
    <r>
      <rPr>
        <vertAlign val="superscript"/>
        <sz val="11"/>
        <color theme="1"/>
        <rFont val="ＭＳ Ｐゴシック"/>
        <family val="3"/>
        <charset val="128"/>
        <scheme val="minor"/>
      </rPr>
      <t>0.0949</t>
    </r>
    <phoneticPr fontId="2"/>
  </si>
  <si>
    <r>
      <t>Ｙ＝3.05×Q</t>
    </r>
    <r>
      <rPr>
        <vertAlign val="superscript"/>
        <sz val="11"/>
        <color theme="1"/>
        <rFont val="ＭＳ Ｐゴシック"/>
        <family val="3"/>
        <charset val="128"/>
        <scheme val="minor"/>
      </rPr>
      <t>0.195</t>
    </r>
    <phoneticPr fontId="2"/>
  </si>
  <si>
    <r>
      <t>Ｑ：消化槽容量（m</t>
    </r>
    <r>
      <rPr>
        <vertAlign val="superscript"/>
        <sz val="11"/>
        <color theme="1"/>
        <rFont val="ＭＳ Ｐゴシック"/>
        <family val="3"/>
        <charset val="128"/>
        <scheme val="minor"/>
      </rPr>
      <t>3</t>
    </r>
    <r>
      <rPr>
        <sz val="11"/>
        <color theme="1"/>
        <rFont val="ＭＳ Ｐゴシック"/>
        <family val="3"/>
        <charset val="128"/>
        <scheme val="minor"/>
      </rPr>
      <t>）</t>
    </r>
    <rPh sb="2" eb="4">
      <t>ショウカ</t>
    </rPh>
    <rPh sb="4" eb="5">
      <t>ソウ</t>
    </rPh>
    <rPh sb="5" eb="7">
      <t>ヨウリョウ</t>
    </rPh>
    <phoneticPr fontId="2"/>
  </si>
  <si>
    <r>
      <t>　「メタン活用いしかわモデル」事業費概算ツール</t>
    </r>
    <r>
      <rPr>
        <b/>
        <sz val="9"/>
        <color theme="1"/>
        <rFont val="ＭＳ ゴシック"/>
        <family val="3"/>
        <charset val="128"/>
      </rPr>
      <t>（令和元年度10月末作成）</t>
    </r>
    <rPh sb="24" eb="26">
      <t>レイワ</t>
    </rPh>
    <rPh sb="26" eb="27">
      <t>モト</t>
    </rPh>
    <phoneticPr fontId="2"/>
  </si>
  <si>
    <t>◆物質収支【日平均】 いしかわモデル導入</t>
    <rPh sb="1" eb="3">
      <t>ブッシツ</t>
    </rPh>
    <rPh sb="3" eb="5">
      <t>シュウシ</t>
    </rPh>
    <rPh sb="6" eb="7">
      <t>ニチ</t>
    </rPh>
    <rPh sb="7" eb="9">
      <t>ヘイキン</t>
    </rPh>
    <phoneticPr fontId="2"/>
  </si>
  <si>
    <t>◆物質収支【日最大】 いしかわモデル導入</t>
    <rPh sb="1" eb="3">
      <t>ブッシツ</t>
    </rPh>
    <rPh sb="3" eb="5">
      <t>シュウシ</t>
    </rPh>
    <rPh sb="6" eb="7">
      <t>ニチ</t>
    </rPh>
    <rPh sb="7" eb="9">
      <t>サイダイ</t>
    </rPh>
    <phoneticPr fontId="2"/>
  </si>
  <si>
    <t>参考：北陸電力 電気料金単価(低圧電力)</t>
    <rPh sb="0" eb="2">
      <t>サンコウ</t>
    </rPh>
    <rPh sb="3" eb="5">
      <t>ホクリク</t>
    </rPh>
    <rPh sb="5" eb="7">
      <t>デンリョク</t>
    </rPh>
    <rPh sb="8" eb="10">
      <t>デンキ</t>
    </rPh>
    <rPh sb="10" eb="12">
      <t>リョウキン</t>
    </rPh>
    <rPh sb="12" eb="14">
      <t>タンカ</t>
    </rPh>
    <rPh sb="15" eb="17">
      <t>テイアツ</t>
    </rPh>
    <rPh sb="17" eb="19">
      <t>デンリョク</t>
    </rPh>
    <phoneticPr fontId="2"/>
  </si>
  <si>
    <t>■消化ガス・汚泥利用設備：導入したい消化ガス・汚泥利用設備について入力下さい。</t>
    <rPh sb="1" eb="3">
      <t>ショウカ</t>
    </rPh>
    <rPh sb="6" eb="8">
      <t>オデイ</t>
    </rPh>
    <rPh sb="8" eb="10">
      <t>リヨウ</t>
    </rPh>
    <rPh sb="10" eb="12">
      <t>セツビ</t>
    </rPh>
    <rPh sb="13" eb="15">
      <t>ドウニュウ</t>
    </rPh>
    <rPh sb="18" eb="20">
      <t>ショウカ</t>
    </rPh>
    <rPh sb="23" eb="25">
      <t>オデイ</t>
    </rPh>
    <rPh sb="25" eb="27">
      <t>リヨウ</t>
    </rPh>
    <rPh sb="27" eb="29">
      <t>セツビ</t>
    </rPh>
    <rPh sb="33" eb="35">
      <t>ニュウリョク</t>
    </rPh>
    <rPh sb="35" eb="36">
      <t>クダ</t>
    </rPh>
    <phoneticPr fontId="2"/>
  </si>
  <si>
    <t>処理量</t>
    <rPh sb="0" eb="2">
      <t>ショリ</t>
    </rPh>
    <rPh sb="2" eb="3">
      <t>リョウ</t>
    </rPh>
    <phoneticPr fontId="2"/>
  </si>
  <si>
    <t>■汚泥前処理設備：汚泥前処理設備について入力下さい。</t>
    <rPh sb="1" eb="3">
      <t>オデイ</t>
    </rPh>
    <rPh sb="3" eb="6">
      <t>マエショリ</t>
    </rPh>
    <rPh sb="6" eb="8">
      <t>セツビ</t>
    </rPh>
    <rPh sb="9" eb="11">
      <t>オデイ</t>
    </rPh>
    <rPh sb="11" eb="14">
      <t>マエショリ</t>
    </rPh>
    <rPh sb="14" eb="16">
      <t>セツビ</t>
    </rPh>
    <rPh sb="20" eb="22">
      <t>ニュウリョク</t>
    </rPh>
    <rPh sb="22" eb="23">
      <t>クダ</t>
    </rPh>
    <phoneticPr fontId="2"/>
  </si>
  <si>
    <t>導入したい消化ガス・汚泥利用設備を「〇」、導入しない場合は「×」を入力下さい。</t>
    <rPh sb="0" eb="2">
      <t>ドウニュウ</t>
    </rPh>
    <rPh sb="21" eb="23">
      <t>ドウニュウ</t>
    </rPh>
    <rPh sb="26" eb="28">
      <t>バアイ</t>
    </rPh>
    <phoneticPr fontId="2"/>
  </si>
  <si>
    <t>MW前処理設備</t>
    <rPh sb="2" eb="5">
      <t>マエショリ</t>
    </rPh>
    <rPh sb="5" eb="7">
      <t>セツビ</t>
    </rPh>
    <phoneticPr fontId="2"/>
  </si>
  <si>
    <t>MW前処理設備を導入する場合は「〇」、導入しない場合は「×」を入力下さい。</t>
    <rPh sb="2" eb="5">
      <t>マエショリ</t>
    </rPh>
    <rPh sb="5" eb="7">
      <t>セツビ</t>
    </rPh>
    <rPh sb="8" eb="10">
      <t>ドウニュウ</t>
    </rPh>
    <rPh sb="12" eb="14">
      <t>バアイ</t>
    </rPh>
    <rPh sb="19" eb="21">
      <t>ドウニュウ</t>
    </rPh>
    <rPh sb="24" eb="26">
      <t>バアイ</t>
    </rPh>
    <phoneticPr fontId="2"/>
  </si>
  <si>
    <t>汚泥前処理設備（MW照射装置）による効果は、「物質収支」における下水汚泥の有機物分解率を1.3倍にするものとした。</t>
    <phoneticPr fontId="2"/>
  </si>
  <si>
    <t>乾燥機を導入した場合は、肥料化するため処分費は発生しない。</t>
    <rPh sb="0" eb="3">
      <t>カンソウキ</t>
    </rPh>
    <rPh sb="4" eb="6">
      <t>ドウニュウ</t>
    </rPh>
    <rPh sb="8" eb="10">
      <t>バアイ</t>
    </rPh>
    <rPh sb="12" eb="15">
      <t>ヒリョウカ</t>
    </rPh>
    <rPh sb="19" eb="21">
      <t>ショブン</t>
    </rPh>
    <rPh sb="21" eb="22">
      <t>ヒ</t>
    </rPh>
    <rPh sb="23" eb="25">
      <t>ハッセイ</t>
    </rPh>
    <phoneticPr fontId="2"/>
  </si>
  <si>
    <t>汚泥肥料生産量(t-wet/年)</t>
    <rPh sb="0" eb="2">
      <t>オデイ</t>
    </rPh>
    <rPh sb="2" eb="4">
      <t>ヒリョウ</t>
    </rPh>
    <rPh sb="4" eb="6">
      <t>セイサン</t>
    </rPh>
    <rPh sb="6" eb="7">
      <t>リョウ</t>
    </rPh>
    <phoneticPr fontId="2"/>
  </si>
  <si>
    <t>●算定結果【例】</t>
    <rPh sb="1" eb="3">
      <t>サンテイ</t>
    </rPh>
    <rPh sb="3" eb="5">
      <t>ケッカ</t>
    </rPh>
    <rPh sb="6" eb="7">
      <t>レイ</t>
    </rPh>
    <phoneticPr fontId="2"/>
  </si>
  <si>
    <t>◆【既存処理体系】　年価事業費</t>
    <rPh sb="2" eb="4">
      <t>キゾン</t>
    </rPh>
    <rPh sb="4" eb="6">
      <t>ショリ</t>
    </rPh>
    <rPh sb="6" eb="8">
      <t>タイケイ</t>
    </rPh>
    <rPh sb="10" eb="11">
      <t>ネン</t>
    </rPh>
    <rPh sb="11" eb="12">
      <t>アタイ</t>
    </rPh>
    <rPh sb="12" eb="15">
      <t>ジギョウヒ</t>
    </rPh>
    <phoneticPr fontId="7"/>
  </si>
  <si>
    <t>◆【いしかわモデル導入時】　年価事業費</t>
    <rPh sb="9" eb="11">
      <t>ドウニュウ</t>
    </rPh>
    <rPh sb="11" eb="12">
      <t>ジ</t>
    </rPh>
    <rPh sb="14" eb="15">
      <t>ネン</t>
    </rPh>
    <rPh sb="15" eb="16">
      <t>アタイ</t>
    </rPh>
    <rPh sb="16" eb="19">
      <t>ジギョウヒ</t>
    </rPh>
    <phoneticPr fontId="7"/>
  </si>
  <si>
    <t>◆発電量、汚泥肥料生産量</t>
    <rPh sb="1" eb="3">
      <t>ハツデン</t>
    </rPh>
    <rPh sb="3" eb="4">
      <t>リョウ</t>
    </rPh>
    <rPh sb="5" eb="7">
      <t>オデイ</t>
    </rPh>
    <rPh sb="7" eb="9">
      <t>ヒリョウ</t>
    </rPh>
    <rPh sb="9" eb="11">
      <t>セイサン</t>
    </rPh>
    <rPh sb="11" eb="12">
      <t>リョウ</t>
    </rPh>
    <phoneticPr fontId="2"/>
  </si>
  <si>
    <t>●算定結果</t>
    <rPh sb="1" eb="3">
      <t>サンテイ</t>
    </rPh>
    <rPh sb="3" eb="5">
      <t>ケッカ</t>
    </rPh>
    <phoneticPr fontId="2"/>
  </si>
  <si>
    <t>◆発電電力の場内利用</t>
    <rPh sb="1" eb="3">
      <t>ハツデン</t>
    </rPh>
    <rPh sb="3" eb="5">
      <t>デンリョク</t>
    </rPh>
    <rPh sb="6" eb="8">
      <t>ジョウナイ</t>
    </rPh>
    <rPh sb="8" eb="10">
      <t>リヨウ</t>
    </rPh>
    <phoneticPr fontId="2"/>
  </si>
  <si>
    <t>設備</t>
    <rPh sb="0" eb="2">
      <t>セツビ</t>
    </rPh>
    <phoneticPr fontId="2"/>
  </si>
  <si>
    <t>消化ガス発電</t>
    <rPh sb="0" eb="2">
      <t>ショウカ</t>
    </rPh>
    <rPh sb="4" eb="6">
      <t>ハツデン</t>
    </rPh>
    <phoneticPr fontId="2"/>
  </si>
  <si>
    <t>発電電力の場内利用</t>
    <rPh sb="0" eb="2">
      <t>ハツデン</t>
    </rPh>
    <rPh sb="2" eb="4">
      <t>デンリョク</t>
    </rPh>
    <rPh sb="5" eb="7">
      <t>ジョウナイ</t>
    </rPh>
    <rPh sb="7" eb="9">
      <t>リヨウ</t>
    </rPh>
    <phoneticPr fontId="2"/>
  </si>
  <si>
    <t>kWh/年</t>
    <rPh sb="4" eb="5">
      <t>ネン</t>
    </rPh>
    <phoneticPr fontId="2"/>
  </si>
  <si>
    <t>円/kWh</t>
    <rPh sb="0" eb="1">
      <t>エン</t>
    </rPh>
    <phoneticPr fontId="2"/>
  </si>
  <si>
    <t>発電量、汚泥肥料生産量</t>
    <rPh sb="0" eb="2">
      <t>ハツデン</t>
    </rPh>
    <rPh sb="2" eb="3">
      <t>リョウ</t>
    </rPh>
    <rPh sb="4" eb="6">
      <t>オデイ</t>
    </rPh>
    <rPh sb="6" eb="8">
      <t>ヒリョウ</t>
    </rPh>
    <rPh sb="8" eb="10">
      <t>セイサン</t>
    </rPh>
    <rPh sb="10" eb="11">
      <t>リョウ</t>
    </rPh>
    <phoneticPr fontId="2"/>
  </si>
  <si>
    <t>いしかわモデル導入</t>
    <rPh sb="7" eb="9">
      <t>ドウニュウ</t>
    </rPh>
    <phoneticPr fontId="2"/>
  </si>
  <si>
    <t>・</t>
    <phoneticPr fontId="2"/>
  </si>
  <si>
    <t>【基本情報入力】の【入力セル】に数値を入力する。</t>
    <phoneticPr fontId="2"/>
  </si>
  <si>
    <t>「メタン活用いしかわモデル」を導入した条件で、乾燥設備の導入を選択した場合は、汚泥肥料の無料配布を想定する。</t>
    <rPh sb="28" eb="30">
      <t>ドウニュウ</t>
    </rPh>
    <rPh sb="31" eb="33">
      <t>センタク</t>
    </rPh>
    <rPh sb="35" eb="37">
      <t>バアイ</t>
    </rPh>
    <rPh sb="39" eb="41">
      <t>オデイ</t>
    </rPh>
    <rPh sb="41" eb="43">
      <t>ヒリョウ</t>
    </rPh>
    <phoneticPr fontId="2"/>
  </si>
  <si>
    <t>「メタン活用いしかわモデル」を導入した条件で、発電設備の導入を選択した場合は、発電電力は場内利用を想定し、消費電力量削減効果を維持管理費に考慮する。</t>
    <rPh sb="23" eb="25">
      <t>ハツデン</t>
    </rPh>
    <rPh sb="28" eb="30">
      <t>ドウニュウ</t>
    </rPh>
    <rPh sb="31" eb="33">
      <t>センタク</t>
    </rPh>
    <rPh sb="35" eb="37">
      <t>バアイ</t>
    </rPh>
    <rPh sb="39" eb="41">
      <t>ハツデン</t>
    </rPh>
    <rPh sb="41" eb="43">
      <t>デンリョク</t>
    </rPh>
    <rPh sb="44" eb="46">
      <t>ジョウナイ</t>
    </rPh>
    <rPh sb="46" eb="48">
      <t>リヨウ</t>
    </rPh>
    <rPh sb="49" eb="51">
      <t>ソウテイ</t>
    </rPh>
    <rPh sb="53" eb="55">
      <t>ショウヒ</t>
    </rPh>
    <rPh sb="55" eb="57">
      <t>デンリョク</t>
    </rPh>
    <rPh sb="57" eb="58">
      <t>リョウ</t>
    </rPh>
    <rPh sb="58" eb="60">
      <t>サクゲン</t>
    </rPh>
    <rPh sb="60" eb="62">
      <t>コウカ</t>
    </rPh>
    <rPh sb="63" eb="65">
      <t>イジ</t>
    </rPh>
    <rPh sb="65" eb="68">
      <t>カンリヒ</t>
    </rPh>
    <rPh sb="69" eb="71">
      <t>コウリョ</t>
    </rPh>
    <phoneticPr fontId="2"/>
  </si>
  <si>
    <t>｢生活系排水処理ガイドブック: 浄化槽・小規模下水道・農業集落排水・生活雑排水｣環境技術研究会</t>
    <phoneticPr fontId="2"/>
  </si>
  <si>
    <r>
      <t xml:space="preserve"> ｢</t>
    </r>
    <r>
      <rPr>
        <sz val="11"/>
        <color rgb="FF000000"/>
        <rFont val="ＭＳ Ｐゴシック"/>
        <family val="3"/>
        <charset val="128"/>
        <scheme val="minor"/>
      </rPr>
      <t>下水道統計｣（社）日本下水道協会（石川県内の</t>
    </r>
    <r>
      <rPr>
        <sz val="11"/>
        <color rgb="FF000000"/>
        <rFont val="Calibri"/>
        <family val="2"/>
      </rPr>
      <t>OD</t>
    </r>
    <r>
      <rPr>
        <sz val="11"/>
        <color rgb="FF000000"/>
        <rFont val="ＭＳ Ｐゴシック"/>
        <family val="3"/>
        <charset val="128"/>
        <scheme val="minor"/>
      </rPr>
      <t>法適用処理場実績）</t>
    </r>
    <phoneticPr fontId="2"/>
  </si>
  <si>
    <r>
      <t>｢</t>
    </r>
    <r>
      <rPr>
        <sz val="11"/>
        <color rgb="FF000000"/>
        <rFont val="ＭＳ Ｐゴシック"/>
        <family val="3"/>
        <charset val="128"/>
        <scheme val="minor"/>
      </rPr>
      <t>下水道統計｣（社）日本下水道協会（石川県内の標準法適用処理場実績）</t>
    </r>
    <phoneticPr fontId="2"/>
  </si>
  <si>
    <t xml:space="preserve">【簡易版】メタン活用いしかわモデル事業費概算ツール　- 平成28年3月- </t>
    <rPh sb="8" eb="10">
      <t>カツヨウ</t>
    </rPh>
    <rPh sb="17" eb="19">
      <t>ジギョウ</t>
    </rPh>
    <rPh sb="19" eb="20">
      <t>ヒ</t>
    </rPh>
    <rPh sb="20" eb="22">
      <t>ガイサン</t>
    </rPh>
    <rPh sb="28" eb="30">
      <t>ヘイセイ</t>
    </rPh>
    <rPh sb="32" eb="33">
      <t>ネン</t>
    </rPh>
    <rPh sb="34" eb="35">
      <t>ガツ</t>
    </rPh>
    <phoneticPr fontId="2"/>
  </si>
  <si>
    <t>ユーザー入力セル
必須入力項目</t>
    <rPh sb="4" eb="6">
      <t>ニュウリョク</t>
    </rPh>
    <rPh sb="9" eb="11">
      <t>ヒッス</t>
    </rPh>
    <rPh sb="11" eb="13">
      <t>ニュウリョク</t>
    </rPh>
    <rPh sb="13" eb="15">
      <t>コウモク</t>
    </rPh>
    <phoneticPr fontId="2"/>
  </si>
  <si>
    <t>ユーザー入力セル
現在の状況に応じて変更</t>
    <rPh sb="4" eb="6">
      <t>ニュウリョク</t>
    </rPh>
    <rPh sb="9" eb="11">
      <t>ゲンザイ</t>
    </rPh>
    <rPh sb="12" eb="14">
      <t>ジョウキョウ</t>
    </rPh>
    <rPh sb="15" eb="16">
      <t>オウ</t>
    </rPh>
    <rPh sb="18" eb="20">
      <t>ヘンコウ</t>
    </rPh>
    <phoneticPr fontId="2"/>
  </si>
  <si>
    <t>①集約対象施設の下水汚泥の日平均発生量</t>
    <rPh sb="1" eb="3">
      <t>シュウヤク</t>
    </rPh>
    <rPh sb="3" eb="5">
      <t>タイショウ</t>
    </rPh>
    <rPh sb="5" eb="7">
      <t>シセツ</t>
    </rPh>
    <rPh sb="8" eb="10">
      <t>ゲスイ</t>
    </rPh>
    <rPh sb="10" eb="12">
      <t>オデイ</t>
    </rPh>
    <rPh sb="13" eb="14">
      <t>ニチ</t>
    </rPh>
    <rPh sb="14" eb="16">
      <t>ヘイキン</t>
    </rPh>
    <rPh sb="16" eb="18">
      <t>ハッセイ</t>
    </rPh>
    <rPh sb="18" eb="19">
      <t>リョウ</t>
    </rPh>
    <phoneticPr fontId="2"/>
  </si>
  <si>
    <t>拠点施設</t>
    <rPh sb="0" eb="2">
      <t>キョテン</t>
    </rPh>
    <rPh sb="2" eb="4">
      <t>シセツ</t>
    </rPh>
    <phoneticPr fontId="2"/>
  </si>
  <si>
    <t>集約対象</t>
    <rPh sb="0" eb="2">
      <t>シュウヤク</t>
    </rPh>
    <rPh sb="2" eb="4">
      <t>タイショウ</t>
    </rPh>
    <phoneticPr fontId="2"/>
  </si>
  <si>
    <t>①</t>
    <phoneticPr fontId="2"/>
  </si>
  <si>
    <t>②</t>
    <phoneticPr fontId="2"/>
  </si>
  <si>
    <t>③</t>
    <phoneticPr fontId="2"/>
  </si>
  <si>
    <t>④</t>
    <phoneticPr fontId="2"/>
  </si>
  <si>
    <t>⑤</t>
    <phoneticPr fontId="2"/>
  </si>
  <si>
    <t>⑥</t>
    <phoneticPr fontId="2"/>
  </si>
  <si>
    <t>⑦</t>
    <phoneticPr fontId="2"/>
  </si>
  <si>
    <t>入力欄</t>
    <rPh sb="0" eb="2">
      <t>ニュウリョク</t>
    </rPh>
    <rPh sb="2" eb="3">
      <t>ラン</t>
    </rPh>
    <phoneticPr fontId="2"/>
  </si>
  <si>
    <t>―</t>
  </si>
  <si>
    <t>　①は集約処理の拠点施設（混合バイオマスメタン発酵設備の建設地）とする下水処理場名を入力してください。
　②から順に、日平均発生汚泥量が大きい処理場を入力してください。
　集約対象の下水処理場数が7箇所以上の場合はまとめて入力してください。
　まとめて入力する場合は【日平均発生量】は合計値を入力してください。</t>
    <rPh sb="3" eb="5">
      <t>シュウヤク</t>
    </rPh>
    <rPh sb="5" eb="7">
      <t>ショリ</t>
    </rPh>
    <rPh sb="8" eb="10">
      <t>キョテン</t>
    </rPh>
    <rPh sb="10" eb="12">
      <t>シセツ</t>
    </rPh>
    <rPh sb="13" eb="15">
      <t>コンゴウ</t>
    </rPh>
    <rPh sb="23" eb="25">
      <t>ハッコウ</t>
    </rPh>
    <rPh sb="25" eb="27">
      <t>セツビ</t>
    </rPh>
    <rPh sb="28" eb="30">
      <t>ケンセツ</t>
    </rPh>
    <rPh sb="30" eb="31">
      <t>チ</t>
    </rPh>
    <rPh sb="35" eb="37">
      <t>ゲスイ</t>
    </rPh>
    <rPh sb="37" eb="40">
      <t>ショリジョウ</t>
    </rPh>
    <rPh sb="40" eb="41">
      <t>メイ</t>
    </rPh>
    <rPh sb="42" eb="44">
      <t>ニュウリョク</t>
    </rPh>
    <rPh sb="56" eb="57">
      <t>ジュン</t>
    </rPh>
    <rPh sb="59" eb="60">
      <t>ニチ</t>
    </rPh>
    <rPh sb="60" eb="62">
      <t>ヘイキン</t>
    </rPh>
    <rPh sb="62" eb="64">
      <t>ハッセイ</t>
    </rPh>
    <rPh sb="64" eb="66">
      <t>オデイ</t>
    </rPh>
    <rPh sb="66" eb="67">
      <t>リョウ</t>
    </rPh>
    <rPh sb="68" eb="69">
      <t>オオ</t>
    </rPh>
    <rPh sb="71" eb="74">
      <t>ショリジョウ</t>
    </rPh>
    <rPh sb="75" eb="77">
      <t>ニュウリョク</t>
    </rPh>
    <rPh sb="86" eb="88">
      <t>シュウヤク</t>
    </rPh>
    <rPh sb="88" eb="90">
      <t>タイショウ</t>
    </rPh>
    <rPh sb="91" eb="93">
      <t>ゲスイ</t>
    </rPh>
    <rPh sb="93" eb="95">
      <t>ショリ</t>
    </rPh>
    <rPh sb="95" eb="96">
      <t>ジョウ</t>
    </rPh>
    <rPh sb="96" eb="97">
      <t>スウ</t>
    </rPh>
    <rPh sb="99" eb="101">
      <t>カショ</t>
    </rPh>
    <rPh sb="101" eb="103">
      <t>イジョウ</t>
    </rPh>
    <rPh sb="104" eb="106">
      <t>バアイ</t>
    </rPh>
    <rPh sb="111" eb="113">
      <t>ニュウリョク</t>
    </rPh>
    <rPh sb="126" eb="128">
      <t>ニュウリョク</t>
    </rPh>
    <rPh sb="130" eb="132">
      <t>バアイ</t>
    </rPh>
    <rPh sb="146" eb="148">
      <t>ニュウリョク</t>
    </rPh>
    <phoneticPr fontId="2"/>
  </si>
  <si>
    <t>-</t>
    <phoneticPr fontId="2"/>
  </si>
  <si>
    <t>その他処理場</t>
    <rPh sb="2" eb="3">
      <t>タ</t>
    </rPh>
    <rPh sb="3" eb="5">
      <t>ショリ</t>
    </rPh>
    <rPh sb="5" eb="6">
      <t>ジョウ</t>
    </rPh>
    <phoneticPr fontId="2"/>
  </si>
  <si>
    <t>－</t>
    <phoneticPr fontId="2"/>
  </si>
  <si>
    <t>脱水汚泥</t>
  </si>
  <si>
    <t>濃縮汚泥</t>
  </si>
  <si>
    <t>②対象下水処理場の既存汚泥処理設備の基数</t>
    <rPh sb="1" eb="3">
      <t>タイショウ</t>
    </rPh>
    <rPh sb="3" eb="5">
      <t>ゲスイ</t>
    </rPh>
    <rPh sb="5" eb="7">
      <t>ショリ</t>
    </rPh>
    <rPh sb="7" eb="8">
      <t>ジョウ</t>
    </rPh>
    <rPh sb="9" eb="11">
      <t>キゾン</t>
    </rPh>
    <rPh sb="11" eb="13">
      <t>オデイ</t>
    </rPh>
    <rPh sb="13" eb="15">
      <t>ショリ</t>
    </rPh>
    <rPh sb="15" eb="17">
      <t>セツビ</t>
    </rPh>
    <rPh sb="18" eb="20">
      <t>キスウ</t>
    </rPh>
    <phoneticPr fontId="2"/>
  </si>
  <si>
    <t>　対象下水道の汚泥処理設備の基数を入力してください。複数の下水処理場をまとめて入力する場合は合計を入力してください。</t>
    <rPh sb="1" eb="3">
      <t>タイショウ</t>
    </rPh>
    <rPh sb="3" eb="5">
      <t>ゲスイ</t>
    </rPh>
    <rPh sb="5" eb="6">
      <t>ドウ</t>
    </rPh>
    <rPh sb="7" eb="9">
      <t>オデイ</t>
    </rPh>
    <rPh sb="9" eb="11">
      <t>ショリ</t>
    </rPh>
    <rPh sb="11" eb="13">
      <t>セツビ</t>
    </rPh>
    <rPh sb="14" eb="16">
      <t>キスウ</t>
    </rPh>
    <rPh sb="17" eb="19">
      <t>ニュウリョク</t>
    </rPh>
    <rPh sb="26" eb="28">
      <t>フクスウ</t>
    </rPh>
    <rPh sb="29" eb="31">
      <t>ゲスイ</t>
    </rPh>
    <rPh sb="31" eb="34">
      <t>ショリジョウ</t>
    </rPh>
    <rPh sb="39" eb="41">
      <t>ニュウリョク</t>
    </rPh>
    <rPh sb="43" eb="45">
      <t>バアイ</t>
    </rPh>
    <rPh sb="46" eb="48">
      <t>ゴウケイ</t>
    </rPh>
    <rPh sb="49" eb="51">
      <t>ニュウリョク</t>
    </rPh>
    <phoneticPr fontId="2"/>
  </si>
  <si>
    <t>③集約するその他バイオマスの日平均発生量</t>
    <rPh sb="1" eb="3">
      <t>シュウヤク</t>
    </rPh>
    <rPh sb="7" eb="8">
      <t>タ</t>
    </rPh>
    <rPh sb="14" eb="15">
      <t>ニチ</t>
    </rPh>
    <rPh sb="15" eb="17">
      <t>ヘイキン</t>
    </rPh>
    <rPh sb="17" eb="19">
      <t>ハッセイ</t>
    </rPh>
    <rPh sb="19" eb="20">
      <t>リョウ</t>
    </rPh>
    <phoneticPr fontId="2"/>
  </si>
  <si>
    <t>⑧</t>
    <phoneticPr fontId="2"/>
  </si>
  <si>
    <t>⑨</t>
    <phoneticPr fontId="2"/>
  </si>
  <si>
    <t>⑩</t>
    <phoneticPr fontId="2"/>
  </si>
  <si>
    <t>⑪</t>
    <phoneticPr fontId="2"/>
  </si>
  <si>
    <t>A町・B町・C町</t>
    <rPh sb="1" eb="2">
      <t>マチ</t>
    </rPh>
    <rPh sb="4" eb="5">
      <t>マチ</t>
    </rPh>
    <rPh sb="7" eb="8">
      <t>マチ</t>
    </rPh>
    <phoneticPr fontId="2"/>
  </si>
  <si>
    <t>　し尿・浄化槽汚泥・集落排水汚泥・生ごみを複数個所から集約する場合はまとめて入力してください。
　まとめて入力する場合は【日平均発生量】は合計値を入力してください。</t>
    <rPh sb="2" eb="3">
      <t>ニョウ</t>
    </rPh>
    <rPh sb="4" eb="7">
      <t>ジョウカソウ</t>
    </rPh>
    <rPh sb="7" eb="9">
      <t>オデイ</t>
    </rPh>
    <rPh sb="10" eb="12">
      <t>シュウラク</t>
    </rPh>
    <rPh sb="12" eb="14">
      <t>ハイスイ</t>
    </rPh>
    <rPh sb="14" eb="16">
      <t>オデイ</t>
    </rPh>
    <rPh sb="17" eb="18">
      <t>ナマ</t>
    </rPh>
    <rPh sb="21" eb="23">
      <t>フクスウ</t>
    </rPh>
    <rPh sb="23" eb="25">
      <t>カショ</t>
    </rPh>
    <rPh sb="27" eb="29">
      <t>シュウヤク</t>
    </rPh>
    <rPh sb="31" eb="33">
      <t>バアイ</t>
    </rPh>
    <rPh sb="38" eb="40">
      <t>ニュウリョク</t>
    </rPh>
    <phoneticPr fontId="2"/>
  </si>
  <si>
    <r>
      <t>m</t>
    </r>
    <r>
      <rPr>
        <vertAlign val="superscript"/>
        <sz val="12"/>
        <color theme="1"/>
        <rFont val="ＭＳ Ｐゴシック"/>
        <family val="3"/>
        <charset val="128"/>
        <scheme val="minor"/>
      </rPr>
      <t>3</t>
    </r>
    <r>
      <rPr>
        <sz val="12"/>
        <color theme="1"/>
        <rFont val="ＭＳ Ｐゴシック"/>
        <family val="3"/>
        <charset val="128"/>
        <scheme val="minor"/>
      </rPr>
      <t>/日</t>
    </r>
    <rPh sb="3" eb="4">
      <t>ニチ</t>
    </rPh>
    <phoneticPr fontId="2"/>
  </si>
  <si>
    <t>■ユーティリティ価格</t>
    <rPh sb="8" eb="10">
      <t>カカク</t>
    </rPh>
    <phoneticPr fontId="2"/>
  </si>
  <si>
    <t>■年価算定指標（算定条件）</t>
    <rPh sb="1" eb="2">
      <t>ネン</t>
    </rPh>
    <rPh sb="2" eb="3">
      <t>アタイ</t>
    </rPh>
    <rPh sb="3" eb="5">
      <t>サンテイ</t>
    </rPh>
    <rPh sb="5" eb="7">
      <t>シヒョウ</t>
    </rPh>
    <rPh sb="8" eb="10">
      <t>サンテイ</t>
    </rPh>
    <rPh sb="10" eb="12">
      <t>ジョウケン</t>
    </rPh>
    <phoneticPr fontId="2"/>
  </si>
  <si>
    <t>現在の状況に応じて変更してください。</t>
    <rPh sb="0" eb="2">
      <t>ゲンザイ</t>
    </rPh>
    <rPh sb="3" eb="5">
      <t>ジョウキョウ</t>
    </rPh>
    <rPh sb="6" eb="7">
      <t>オウ</t>
    </rPh>
    <rPh sb="9" eb="11">
      <t>ヘンコウ</t>
    </rPh>
    <phoneticPr fontId="2"/>
  </si>
  <si>
    <t>【算定結果】</t>
    <rPh sb="1" eb="3">
      <t>サンテイ</t>
    </rPh>
    <rPh sb="3" eb="5">
      <t>ケッカ</t>
    </rPh>
    <phoneticPr fontId="2"/>
  </si>
  <si>
    <t>◆算定結果　【既存処理体系】</t>
    <rPh sb="1" eb="3">
      <t>サンテイ</t>
    </rPh>
    <rPh sb="3" eb="5">
      <t>ケッカ</t>
    </rPh>
    <rPh sb="7" eb="9">
      <t>キゾン</t>
    </rPh>
    <rPh sb="9" eb="11">
      <t>ショリ</t>
    </rPh>
    <rPh sb="11" eb="13">
      <t>タイケイ</t>
    </rPh>
    <phoneticPr fontId="7"/>
  </si>
  <si>
    <t>◆算定結果　【いしかわモデル導入時】</t>
    <rPh sb="1" eb="3">
      <t>サンテイ</t>
    </rPh>
    <rPh sb="3" eb="5">
      <t>ケッカ</t>
    </rPh>
    <rPh sb="14" eb="16">
      <t>ドウニュウ</t>
    </rPh>
    <rPh sb="16" eb="17">
      <t>ジ</t>
    </rPh>
    <phoneticPr fontId="7"/>
  </si>
  <si>
    <t>　既存処理体系</t>
    <rPh sb="1" eb="3">
      <t>キゾン</t>
    </rPh>
    <rPh sb="3" eb="5">
      <t>ショリ</t>
    </rPh>
    <rPh sb="5" eb="7">
      <t>タイケイ</t>
    </rPh>
    <phoneticPr fontId="2"/>
  </si>
  <si>
    <t>　いしかわモデル導入</t>
    <rPh sb="8" eb="10">
      <t>ドウニュウ</t>
    </rPh>
    <phoneticPr fontId="2"/>
  </si>
  <si>
    <t>　初期投資費（百万円）</t>
    <phoneticPr fontId="2"/>
  </si>
  <si>
    <t>　年価事業費（百万円/年）</t>
    <phoneticPr fontId="2"/>
  </si>
  <si>
    <t>　年価事業費（百万円/年）</t>
    <phoneticPr fontId="2"/>
  </si>
  <si>
    <t>いしかわモデル導入</t>
    <phoneticPr fontId="2"/>
  </si>
  <si>
    <r>
      <t>Ｑ：汚泥処理量（1%濃度換算値）（m</t>
    </r>
    <r>
      <rPr>
        <vertAlign val="superscript"/>
        <sz val="11"/>
        <color theme="1"/>
        <rFont val="ＭＳ Ｐゴシック"/>
        <family val="3"/>
        <charset val="128"/>
        <scheme val="minor"/>
      </rPr>
      <t>3</t>
    </r>
    <r>
      <rPr>
        <sz val="11"/>
        <color theme="1"/>
        <rFont val="ＭＳ Ｐゴシック"/>
        <family val="3"/>
        <charset val="128"/>
        <scheme val="minor"/>
      </rPr>
      <t>/日）</t>
    </r>
    <rPh sb="2" eb="4">
      <t>オデイ</t>
    </rPh>
    <rPh sb="4" eb="6">
      <t>ショリ</t>
    </rPh>
    <rPh sb="6" eb="7">
      <t>リョウ</t>
    </rPh>
    <rPh sb="20" eb="21">
      <t>ニチ</t>
    </rPh>
    <phoneticPr fontId="2"/>
  </si>
  <si>
    <r>
      <t>千円/m</t>
    </r>
    <r>
      <rPr>
        <vertAlign val="superscript"/>
        <sz val="11"/>
        <color theme="1"/>
        <rFont val="ＭＳ Ｐゴシック"/>
        <family val="3"/>
        <charset val="128"/>
        <scheme val="minor"/>
      </rPr>
      <t>3</t>
    </r>
    <rPh sb="0" eb="1">
      <t>セン</t>
    </rPh>
    <rPh sb="1" eb="2">
      <t>エン</t>
    </rPh>
    <phoneticPr fontId="2"/>
  </si>
  <si>
    <t>汚泥処理量当たり、32千円</t>
    <rPh sb="5" eb="6">
      <t>ア</t>
    </rPh>
    <rPh sb="11" eb="13">
      <t>センエン</t>
    </rPh>
    <phoneticPr fontId="2"/>
  </si>
  <si>
    <r>
      <t>千万円/m</t>
    </r>
    <r>
      <rPr>
        <vertAlign val="superscript"/>
        <sz val="11"/>
        <color theme="1"/>
        <rFont val="ＭＳ Ｐゴシック"/>
        <family val="3"/>
        <charset val="128"/>
        <scheme val="minor"/>
      </rPr>
      <t>3</t>
    </r>
    <rPh sb="0" eb="2">
      <t>センマン</t>
    </rPh>
    <rPh sb="2" eb="3">
      <t>エン</t>
    </rPh>
    <phoneticPr fontId="2"/>
  </si>
  <si>
    <t>いしかわモデル導入</t>
    <phoneticPr fontId="2"/>
  </si>
  <si>
    <t>いしかわモデル導入</t>
    <phoneticPr fontId="2"/>
  </si>
  <si>
    <r>
      <t>Ｙ＝0.878×Q</t>
    </r>
    <r>
      <rPr>
        <vertAlign val="superscript"/>
        <sz val="11"/>
        <rFont val="ＭＳ Ｐゴシック"/>
        <family val="3"/>
        <charset val="128"/>
        <scheme val="minor"/>
      </rPr>
      <t>0.761</t>
    </r>
    <phoneticPr fontId="2"/>
  </si>
  <si>
    <r>
      <t>Y＝31.9×Q</t>
    </r>
    <r>
      <rPr>
        <vertAlign val="superscript"/>
        <sz val="11"/>
        <rFont val="ＭＳ Ｐゴシック"/>
        <family val="3"/>
        <charset val="128"/>
        <scheme val="minor"/>
      </rPr>
      <t>0.971</t>
    </r>
    <phoneticPr fontId="2"/>
  </si>
  <si>
    <r>
      <t>Y＝6.59×Q</t>
    </r>
    <r>
      <rPr>
        <vertAlign val="superscript"/>
        <sz val="11"/>
        <rFont val="ＭＳ Ｐゴシック"/>
        <family val="3"/>
        <charset val="128"/>
        <scheme val="minor"/>
      </rPr>
      <t>0.809</t>
    </r>
    <phoneticPr fontId="2"/>
  </si>
  <si>
    <r>
      <t>Y＝12.3×Q</t>
    </r>
    <r>
      <rPr>
        <vertAlign val="superscript"/>
        <sz val="11"/>
        <rFont val="ＭＳ Ｐゴシック"/>
        <family val="3"/>
        <charset val="128"/>
        <scheme val="minor"/>
      </rPr>
      <t>0.941</t>
    </r>
    <phoneticPr fontId="2"/>
  </si>
  <si>
    <r>
      <t>Ｙ＝36.5×Q</t>
    </r>
    <r>
      <rPr>
        <vertAlign val="superscript"/>
        <sz val="11"/>
        <rFont val="ＭＳ Ｐゴシック"/>
        <family val="3"/>
        <charset val="128"/>
        <scheme val="minor"/>
      </rPr>
      <t>0.232</t>
    </r>
    <phoneticPr fontId="2"/>
  </si>
  <si>
    <r>
      <t>Ｙ＝117.2×Q</t>
    </r>
    <r>
      <rPr>
        <vertAlign val="superscript"/>
        <sz val="11"/>
        <rFont val="ＭＳ Ｐゴシック"/>
        <family val="3"/>
        <charset val="128"/>
        <scheme val="minor"/>
      </rPr>
      <t>0.111</t>
    </r>
    <phoneticPr fontId="2"/>
  </si>
  <si>
    <r>
      <t>Y＝98.6×Q</t>
    </r>
    <r>
      <rPr>
        <vertAlign val="superscript"/>
        <sz val="11"/>
        <rFont val="ＭＳ Ｐゴシック"/>
        <family val="3"/>
        <charset val="128"/>
        <scheme val="minor"/>
      </rPr>
      <t>0.475</t>
    </r>
    <phoneticPr fontId="2"/>
  </si>
  <si>
    <r>
      <t>Y＝29.6×Q</t>
    </r>
    <r>
      <rPr>
        <vertAlign val="superscript"/>
        <sz val="11"/>
        <rFont val="ＭＳ Ｐゴシック"/>
        <family val="3"/>
        <charset val="128"/>
        <scheme val="minor"/>
      </rPr>
      <t>0.512</t>
    </r>
    <phoneticPr fontId="2"/>
  </si>
  <si>
    <r>
      <t>Y＝22.4×Q</t>
    </r>
    <r>
      <rPr>
        <vertAlign val="superscript"/>
        <sz val="11"/>
        <rFont val="ＭＳ Ｐゴシック"/>
        <family val="3"/>
        <charset val="128"/>
        <scheme val="minor"/>
      </rPr>
      <t>0.504</t>
    </r>
    <phoneticPr fontId="2"/>
  </si>
  <si>
    <r>
      <t>Y＝75.9×Q</t>
    </r>
    <r>
      <rPr>
        <vertAlign val="superscript"/>
        <sz val="11"/>
        <rFont val="ＭＳ Ｐゴシック"/>
        <family val="3"/>
        <charset val="128"/>
        <scheme val="minor"/>
      </rPr>
      <t>0.342</t>
    </r>
    <phoneticPr fontId="2"/>
  </si>
  <si>
    <r>
      <t>Y＝0.878×Q</t>
    </r>
    <r>
      <rPr>
        <vertAlign val="superscript"/>
        <sz val="11"/>
        <rFont val="ＭＳ Ｐゴシック"/>
        <family val="3"/>
        <charset val="128"/>
        <scheme val="minor"/>
      </rPr>
      <t>0.761</t>
    </r>
    <phoneticPr fontId="2"/>
  </si>
  <si>
    <r>
      <t>Y＝6.59×Q</t>
    </r>
    <r>
      <rPr>
        <vertAlign val="superscript"/>
        <sz val="11"/>
        <rFont val="ＭＳ Ｐゴシック"/>
        <family val="3"/>
        <charset val="128"/>
        <scheme val="minor"/>
      </rPr>
      <t>0.809</t>
    </r>
    <phoneticPr fontId="2"/>
  </si>
  <si>
    <r>
      <t>Y＝12.3×Q</t>
    </r>
    <r>
      <rPr>
        <vertAlign val="superscript"/>
        <sz val="11"/>
        <rFont val="ＭＳ Ｐゴシック"/>
        <family val="3"/>
        <charset val="128"/>
        <scheme val="minor"/>
      </rPr>
      <t>0.941</t>
    </r>
    <phoneticPr fontId="2"/>
  </si>
  <si>
    <r>
      <t>Y＝36.5×Q</t>
    </r>
    <r>
      <rPr>
        <vertAlign val="superscript"/>
        <sz val="11"/>
        <rFont val="ＭＳ Ｐゴシック"/>
        <family val="3"/>
        <charset val="128"/>
        <scheme val="minor"/>
      </rPr>
      <t>0.232</t>
    </r>
    <phoneticPr fontId="2"/>
  </si>
  <si>
    <r>
      <t>Y＝117.2×Q</t>
    </r>
    <r>
      <rPr>
        <vertAlign val="superscript"/>
        <sz val="11"/>
        <rFont val="ＭＳ Ｐゴシック"/>
        <family val="3"/>
        <charset val="128"/>
        <scheme val="minor"/>
      </rPr>
      <t>0.111</t>
    </r>
    <phoneticPr fontId="2"/>
  </si>
  <si>
    <r>
      <t>Y＝98.6×Q</t>
    </r>
    <r>
      <rPr>
        <vertAlign val="superscript"/>
        <sz val="11"/>
        <rFont val="ＭＳ Ｐゴシック"/>
        <family val="3"/>
        <charset val="128"/>
        <scheme val="minor"/>
      </rPr>
      <t>0.475</t>
    </r>
    <phoneticPr fontId="2"/>
  </si>
  <si>
    <r>
      <t>Y＝29.6×Q</t>
    </r>
    <r>
      <rPr>
        <vertAlign val="superscript"/>
        <sz val="11"/>
        <rFont val="ＭＳ Ｐゴシック"/>
        <family val="3"/>
        <charset val="128"/>
        <scheme val="minor"/>
      </rPr>
      <t>0.512</t>
    </r>
    <phoneticPr fontId="2"/>
  </si>
  <si>
    <r>
      <t>Y＝22.4×Q</t>
    </r>
    <r>
      <rPr>
        <vertAlign val="superscript"/>
        <sz val="11"/>
        <rFont val="ＭＳ Ｐゴシック"/>
        <family val="3"/>
        <charset val="128"/>
        <scheme val="minor"/>
      </rPr>
      <t>0.504</t>
    </r>
    <phoneticPr fontId="2"/>
  </si>
  <si>
    <r>
      <t>Y＝75.9×Q</t>
    </r>
    <r>
      <rPr>
        <vertAlign val="superscript"/>
        <sz val="11"/>
        <rFont val="ＭＳ Ｐゴシック"/>
        <family val="3"/>
        <charset val="128"/>
        <scheme val="minor"/>
      </rPr>
      <t>0.342</t>
    </r>
    <phoneticPr fontId="2"/>
  </si>
  <si>
    <r>
      <t>Y＝137.2×Q</t>
    </r>
    <r>
      <rPr>
        <vertAlign val="superscript"/>
        <sz val="11"/>
        <rFont val="ＭＳ Ｐゴシック"/>
        <family val="3"/>
        <charset val="128"/>
        <scheme val="minor"/>
      </rPr>
      <t>0.195</t>
    </r>
    <r>
      <rPr>
        <sz val="11"/>
        <rFont val="ＭＳ Ｐゴシック"/>
        <family val="3"/>
        <charset val="128"/>
        <scheme val="minor"/>
      </rPr>
      <t>（30＜Q≦200）</t>
    </r>
    <r>
      <rPr>
        <vertAlign val="superscript"/>
        <sz val="11"/>
        <rFont val="ＭＳ Ｐゴシック"/>
        <family val="3"/>
        <charset val="128"/>
        <scheme val="minor"/>
      </rPr>
      <t xml:space="preserve">
</t>
    </r>
    <r>
      <rPr>
        <sz val="11"/>
        <rFont val="ＭＳ Ｐゴシック"/>
        <family val="3"/>
        <charset val="128"/>
        <scheme val="minor"/>
      </rPr>
      <t>Y＝70（Q≦30）</t>
    </r>
    <phoneticPr fontId="2"/>
  </si>
  <si>
    <t>Q：し尿・浄化槽汚泥処理施設規模(kl/日)</t>
    <rPh sb="3" eb="4">
      <t>ニョウ</t>
    </rPh>
    <rPh sb="5" eb="8">
      <t>ジョウカソウ</t>
    </rPh>
    <rPh sb="8" eb="10">
      <t>オデイ</t>
    </rPh>
    <rPh sb="10" eb="12">
      <t>ショリ</t>
    </rPh>
    <rPh sb="12" eb="14">
      <t>シセツ</t>
    </rPh>
    <rPh sb="14" eb="16">
      <t>キボ</t>
    </rPh>
    <rPh sb="20" eb="21">
      <t>ニチ</t>
    </rPh>
    <phoneticPr fontId="2"/>
  </si>
  <si>
    <t>kg-wet/h</t>
    <phoneticPr fontId="2"/>
  </si>
  <si>
    <t>Q：投入汚泥量（kg-wet/h）</t>
    <rPh sb="2" eb="4">
      <t>トウニュウ</t>
    </rPh>
    <rPh sb="4" eb="6">
      <t>オデイ</t>
    </rPh>
    <rPh sb="6" eb="7">
      <t>リョウ</t>
    </rPh>
    <phoneticPr fontId="2"/>
  </si>
  <si>
    <r>
      <t>Ｙ＝65×（Q/102）</t>
    </r>
    <r>
      <rPr>
        <vertAlign val="superscript"/>
        <sz val="11"/>
        <rFont val="ＭＳ Ｐゴシック"/>
        <family val="3"/>
        <charset val="128"/>
        <scheme val="minor"/>
      </rPr>
      <t>0.6</t>
    </r>
    <phoneticPr fontId="2"/>
  </si>
  <si>
    <r>
      <t>Y＝65×（Q/102）</t>
    </r>
    <r>
      <rPr>
        <vertAlign val="superscript"/>
        <sz val="11"/>
        <rFont val="ＭＳ Ｐゴシック"/>
        <family val="3"/>
        <charset val="128"/>
        <scheme val="minor"/>
      </rPr>
      <t>0.6</t>
    </r>
    <phoneticPr fontId="2"/>
  </si>
  <si>
    <t>Q：し尿・浄化槽汚泥処理施設規模(kl/日)</t>
    <phoneticPr fontId="2"/>
  </si>
  <si>
    <t>Y＝0.03×Ｑ</t>
    <phoneticPr fontId="2"/>
  </si>
  <si>
    <t>Y＝0.1×Q</t>
    <phoneticPr fontId="2"/>
  </si>
  <si>
    <t>Y＝0.41×Q</t>
    <phoneticPr fontId="2"/>
  </si>
  <si>
    <t>Y＝0.07×Q</t>
    <phoneticPr fontId="2"/>
  </si>
  <si>
    <t>Ｙ＝0.69×Ｑ</t>
    <phoneticPr fontId="2"/>
  </si>
  <si>
    <t>Ｙ＝0.29×Ｑ</t>
    <phoneticPr fontId="2"/>
  </si>
  <si>
    <t>鋼板製
高濃度対応</t>
    <rPh sb="0" eb="2">
      <t>コウハン</t>
    </rPh>
    <rPh sb="2" eb="3">
      <t>セイ</t>
    </rPh>
    <rPh sb="4" eb="7">
      <t>コウノウド</t>
    </rPh>
    <rPh sb="7" eb="9">
      <t>タイオウ</t>
    </rPh>
    <phoneticPr fontId="2"/>
  </si>
  <si>
    <t>×</t>
  </si>
  <si>
    <t>電力</t>
    <rPh sb="0" eb="2">
      <t>デンリョク</t>
    </rPh>
    <phoneticPr fontId="2"/>
  </si>
  <si>
    <t>kWh/日</t>
    <phoneticPr fontId="2"/>
  </si>
  <si>
    <t>Q：消化ガス量(㎥/日)　</t>
    <phoneticPr fontId="2"/>
  </si>
  <si>
    <t>Q：消化ガス量(㎥/日)　</t>
    <phoneticPr fontId="2"/>
  </si>
  <si>
    <r>
      <t>Y＝0.4129×Q</t>
    </r>
    <r>
      <rPr>
        <vertAlign val="superscript"/>
        <sz val="11"/>
        <rFont val="ＭＳ Ｐゴシック"/>
        <family val="3"/>
        <charset val="128"/>
        <scheme val="minor"/>
      </rPr>
      <t>0.7982</t>
    </r>
    <phoneticPr fontId="2"/>
  </si>
  <si>
    <r>
      <t>Y＝0.0138×Q</t>
    </r>
    <r>
      <rPr>
        <vertAlign val="superscript"/>
        <sz val="11"/>
        <rFont val="ＭＳ Ｐゴシック"/>
        <family val="3"/>
        <charset val="128"/>
        <scheme val="minor"/>
      </rPr>
      <t>0.8898</t>
    </r>
    <phoneticPr fontId="2"/>
  </si>
  <si>
    <r>
      <t>Y＝0.4129×Q</t>
    </r>
    <r>
      <rPr>
        <vertAlign val="superscript"/>
        <sz val="11"/>
        <rFont val="ＭＳ Ｐゴシック"/>
        <family val="3"/>
        <charset val="128"/>
        <scheme val="minor"/>
      </rPr>
      <t>0.7982</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</si>
</sst>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0_);[Red]\(0.00\)"/>
    <numFmt numFmtId="177" formatCode="#,##0.0;[Red]\-#,##0.0"/>
    <numFmt numFmtId="178" formatCode="0.00_ "/>
    <numFmt numFmtId="179" formatCode="0.0000000000000000_ "/>
    <numFmt numFmtId="180" formatCode="0.0"/>
    <numFmt numFmtId="181" formatCode="#,##0.0_ "/>
    <numFmt numFmtId="182" formatCode="0.0%"/>
    <numFmt numFmtId="183" formatCode="0_);[Red]\(0\)"/>
    <numFmt numFmtId="184" formatCode="0.0_);[Red]\(0.0\)"/>
    <numFmt numFmtId="185" formatCode="&quot;熱量：&quot;0.0&quot;MJ/L&quot;\ "/>
    <numFmt numFmtId="186" formatCode="&quot;HRT：&quot;0&quot;日&quot;"/>
    <numFmt numFmtId="187" formatCode="&quot;貯留日数：&quot;0&quot;日&quot;"/>
    <numFmt numFmtId="188" formatCode="&quot;混合バイオマス濃度&quot;\=&quot;物&quot;&quot;質&quot;&quot;収&quot;&quot;支&quot;\Q\1\3&quot;%&quot;"/>
    <numFmt numFmtId="189" formatCode="&quot;混合バイオマス濃度&quot;0.0&quot;%&quot;"/>
    <numFmt numFmtId="190" formatCode="#,###"/>
    <numFmt numFmtId="191" formatCode="#,##0.0"/>
    <numFmt numFmtId="192" formatCode="\(##0\)"/>
    <numFmt numFmtId="193" formatCode="&quot;単価：&quot;0&quot;円/kl&quot;\ "/>
    <numFmt numFmtId="194" formatCode="0.0&quot;※&quot;"/>
    <numFmt numFmtId="195" formatCode="&quot;有機物負荷量&quot;0.0&quot;kg-VS/㎥/日&quot;"/>
    <numFmt numFmtId="196" formatCode="&quot;&quot;\ "/>
  </numFmts>
  <fonts count="5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font>
    <font>
      <sz val="6"/>
      <name val="ＭＳ Ｐゴシック"/>
      <family val="3"/>
      <charset val="128"/>
    </font>
    <font>
      <sz val="14"/>
      <name val="ＭＳ 明朝"/>
      <family val="1"/>
      <charset val="128"/>
    </font>
    <font>
      <sz val="11"/>
      <color rgb="FFFF0000"/>
      <name val="ＭＳ Ｐゴシック"/>
      <family val="3"/>
      <charset val="128"/>
      <scheme val="minor"/>
    </font>
    <font>
      <sz val="11"/>
      <name val="ＭＳ Ｐゴシック"/>
      <family val="3"/>
      <charset val="128"/>
      <scheme val="minor"/>
    </font>
    <font>
      <sz val="11"/>
      <name val="HGSｺﾞｼｯｸM"/>
      <family val="3"/>
      <charset val="128"/>
    </font>
    <font>
      <sz val="24"/>
      <color theme="1"/>
      <name val="ＭＳ Ｐゴシック"/>
      <family val="2"/>
      <charset val="128"/>
      <scheme val="minor"/>
    </font>
    <font>
      <sz val="11"/>
      <color rgb="FFFF0000"/>
      <name val="ＭＳ Ｐゴシック"/>
      <family val="2"/>
      <charset val="128"/>
      <scheme val="minor"/>
    </font>
    <font>
      <sz val="11"/>
      <color theme="1"/>
      <name val="ＭＳ Ｐゴシック"/>
      <family val="2"/>
      <scheme val="minor"/>
    </font>
    <font>
      <sz val="11"/>
      <name val="ＭＳ Ｐゴシック"/>
      <family val="2"/>
      <charset val="128"/>
      <scheme val="minor"/>
    </font>
    <font>
      <vertAlign val="superscript"/>
      <sz val="11"/>
      <name val="ＭＳ Ｐゴシック"/>
      <family val="3"/>
      <charset val="128"/>
      <scheme val="minor"/>
    </font>
    <font>
      <sz val="10"/>
      <color theme="1"/>
      <name val="ＭＳ Ｐゴシック"/>
      <family val="3"/>
      <charset val="128"/>
      <scheme val="minor"/>
    </font>
    <font>
      <sz val="11"/>
      <name val="ＭＳ 明朝"/>
      <family val="1"/>
      <charset val="128"/>
    </font>
    <font>
      <vertAlign val="superscript"/>
      <sz val="10"/>
      <color theme="1"/>
      <name val="ＭＳ Ｐゴシック"/>
      <family val="3"/>
      <charset val="128"/>
      <scheme val="minor"/>
    </font>
    <font>
      <sz val="8"/>
      <color theme="1"/>
      <name val="ＭＳ Ｐゴシック"/>
      <family val="3"/>
      <charset val="128"/>
      <scheme val="minor"/>
    </font>
    <font>
      <vertAlign val="superscript"/>
      <sz val="11"/>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color rgb="FF00B050"/>
      <name val="ＭＳ Ｐゴシック"/>
      <family val="2"/>
      <charset val="128"/>
      <scheme val="minor"/>
    </font>
    <font>
      <b/>
      <sz val="10"/>
      <color indexed="81"/>
      <name val="ＭＳ Ｐゴシック"/>
      <family val="3"/>
      <charset val="128"/>
    </font>
    <font>
      <b/>
      <sz val="10"/>
      <color theme="1"/>
      <name val="ＭＳ Ｐゴシック"/>
      <family val="3"/>
      <charset val="128"/>
      <scheme val="minor"/>
    </font>
    <font>
      <b/>
      <sz val="18"/>
      <color theme="1"/>
      <name val="ＭＳ Ｐゴシック"/>
      <family val="3"/>
      <charset val="128"/>
      <scheme val="minor"/>
    </font>
    <font>
      <sz val="11"/>
      <color rgb="FF000000"/>
      <name val="ＭＳ Ｐゴシック"/>
      <family val="3"/>
      <charset val="128"/>
      <scheme val="minor"/>
    </font>
    <font>
      <sz val="11"/>
      <color rgb="FF000000"/>
      <name val="Calibri"/>
      <family val="2"/>
    </font>
    <font>
      <b/>
      <sz val="10"/>
      <color rgb="FFFF0000"/>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ゴシック"/>
      <family val="3"/>
      <charset val="128"/>
    </font>
    <font>
      <sz val="12"/>
      <color theme="1"/>
      <name val="ＭＳ ゴシック"/>
      <family val="3"/>
      <charset val="128"/>
    </font>
    <font>
      <b/>
      <sz val="14"/>
      <color theme="1"/>
      <name val="ＭＳ ゴシック"/>
      <family val="3"/>
      <charset val="128"/>
    </font>
    <font>
      <b/>
      <sz val="9"/>
      <color theme="1"/>
      <name val="ＭＳ ゴシック"/>
      <family val="3"/>
      <charset val="128"/>
    </font>
    <font>
      <sz val="12"/>
      <color theme="1"/>
      <name val="ＭＳ 明朝"/>
      <family val="1"/>
      <charset val="128"/>
    </font>
    <font>
      <sz val="11"/>
      <color rgb="FF9C6500"/>
      <name val="ＭＳ Ｐゴシック"/>
      <family val="2"/>
      <charset val="128"/>
      <scheme val="minor"/>
    </font>
    <font>
      <sz val="12"/>
      <color theme="1"/>
      <name val="ＭＳ Ｐゴシック"/>
      <family val="3"/>
      <charset val="128"/>
      <scheme val="minor"/>
    </font>
    <font>
      <sz val="11"/>
      <color rgb="FF9C0006"/>
      <name val="ＭＳ Ｐゴシック"/>
      <family val="2"/>
      <charset val="128"/>
      <scheme val="minor"/>
    </font>
    <font>
      <b/>
      <sz val="12"/>
      <color theme="1"/>
      <name val="ＭＳ Ｐゴシック"/>
      <family val="3"/>
      <charset val="128"/>
      <scheme val="minor"/>
    </font>
    <font>
      <b/>
      <sz val="20"/>
      <color theme="1"/>
      <name val="ＭＳ Ｐゴシック"/>
      <family val="3"/>
      <charset val="128"/>
      <scheme val="minor"/>
    </font>
    <font>
      <vertAlign val="superscript"/>
      <sz val="12"/>
      <color theme="1"/>
      <name val="ＭＳ Ｐゴシック"/>
      <family val="3"/>
      <charset val="128"/>
      <scheme val="minor"/>
    </font>
    <font>
      <sz val="12"/>
      <name val="ＭＳ Ｐゴシック"/>
      <family val="3"/>
      <charset val="128"/>
      <scheme val="minor"/>
    </font>
    <font>
      <b/>
      <u/>
      <sz val="24"/>
      <color theme="1"/>
      <name val="ＭＳ Ｐゴシック"/>
      <family val="3"/>
      <charset val="128"/>
      <scheme val="minor"/>
    </font>
    <font>
      <b/>
      <u val="double"/>
      <sz val="24"/>
      <color theme="1"/>
      <name val="ＭＳ Ｐゴシック"/>
      <family val="3"/>
      <charset val="128"/>
      <scheme val="minor"/>
    </font>
    <font>
      <b/>
      <sz val="28"/>
      <color theme="1"/>
      <name val="ＭＳ Ｐゴシック"/>
      <family val="3"/>
      <charset val="128"/>
      <scheme val="minor"/>
    </font>
    <font>
      <sz val="12"/>
      <color theme="1"/>
      <name val="ＭＳ Ｐゴシック"/>
      <family val="2"/>
      <charset val="128"/>
      <scheme val="minor"/>
    </font>
    <font>
      <sz val="12"/>
      <color rgb="FF00B050"/>
      <name val="ＭＳ Ｐゴシック"/>
      <family val="3"/>
      <charset val="128"/>
      <scheme val="minor"/>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s>
  <fills count="25">
    <fill>
      <patternFill patternType="none"/>
    </fill>
    <fill>
      <patternFill patternType="gray125"/>
    </fill>
    <fill>
      <patternFill patternType="solid">
        <fgColor rgb="FFFFFFCC"/>
      </patternFill>
    </fill>
    <fill>
      <patternFill patternType="solid">
        <fgColor theme="6" tint="0.79998168889431442"/>
        <bgColor indexed="65"/>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CCFF"/>
        <bgColor indexed="64"/>
      </patternFill>
    </fill>
    <fill>
      <patternFill patternType="solid">
        <fgColor rgb="FFFFFFCC"/>
        <bgColor indexed="64"/>
      </patternFill>
    </fill>
    <fill>
      <patternFill patternType="solid">
        <fgColor rgb="FFFFCCCC"/>
        <bgColor indexed="64"/>
      </patternFill>
    </fill>
    <fill>
      <patternFill patternType="solid">
        <fgColor theme="9" tint="0.39997558519241921"/>
        <bgColor indexed="64"/>
      </patternFill>
    </fill>
    <fill>
      <patternFill patternType="solid">
        <fgColor rgb="FFCCECFF"/>
        <bgColor indexed="64"/>
      </patternFill>
    </fill>
    <fill>
      <patternFill patternType="solid">
        <fgColor rgb="FFFFEB9C"/>
      </patternFill>
    </fill>
    <fill>
      <patternFill patternType="solid">
        <fgColor rgb="FFCCFF99"/>
        <bgColor indexed="64"/>
      </patternFill>
    </fill>
    <fill>
      <patternFill patternType="solid">
        <fgColor rgb="FFFFC7CE"/>
      </patternFill>
    </fill>
    <fill>
      <patternFill patternType="solid">
        <fgColor rgb="FF92D050"/>
        <bgColor indexed="64"/>
      </patternFill>
    </fill>
    <fill>
      <patternFill patternType="solid">
        <fgColor rgb="FF99FFCC"/>
        <bgColor indexed="64"/>
      </patternFill>
    </fill>
    <fill>
      <patternFill patternType="solid">
        <fgColor rgb="FF66FFFF"/>
        <bgColor indexed="64"/>
      </patternFill>
    </fill>
    <fill>
      <patternFill patternType="solid">
        <fgColor rgb="FFFFC00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0" fontId="1" fillId="2" borderId="16" applyNumberFormat="0" applyFont="0" applyAlignment="0" applyProtection="0">
      <alignment vertical="center"/>
    </xf>
    <xf numFmtId="9" fontId="1" fillId="0" borderId="0" applyFont="0" applyFill="0" applyBorder="0" applyAlignment="0" applyProtection="0">
      <alignment vertical="center"/>
    </xf>
    <xf numFmtId="0" fontId="6" fillId="0" borderId="0"/>
    <xf numFmtId="9" fontId="6" fillId="0" borderId="0" applyFont="0" applyFill="0" applyBorder="0" applyAlignment="0" applyProtection="0"/>
    <xf numFmtId="38" fontId="6" fillId="0" borderId="0" applyFont="0" applyFill="0" applyBorder="0" applyAlignment="0" applyProtection="0"/>
    <xf numFmtId="0" fontId="8" fillId="0" borderId="0"/>
    <xf numFmtId="0" fontId="1" fillId="3" borderId="0" applyNumberFormat="0" applyBorder="0" applyAlignment="0" applyProtection="0">
      <alignment vertical="center"/>
    </xf>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4" fillId="0" borderId="0"/>
    <xf numFmtId="0" fontId="18" fillId="0" borderId="0">
      <alignment vertical="center"/>
    </xf>
    <xf numFmtId="0" fontId="40" fillId="18" borderId="0" applyNumberFormat="0" applyBorder="0" applyAlignment="0" applyProtection="0">
      <alignment vertical="center"/>
    </xf>
    <xf numFmtId="0" fontId="42" fillId="20" borderId="0" applyNumberFormat="0" applyBorder="0" applyAlignment="0" applyProtection="0">
      <alignment vertical="center"/>
    </xf>
  </cellStyleXfs>
  <cellXfs count="1544">
    <xf numFmtId="0" fontId="0" fillId="0" borderId="0" xfId="0">
      <alignment vertical="center"/>
    </xf>
    <xf numFmtId="0" fontId="0" fillId="0" borderId="0" xfId="0" applyBorder="1">
      <alignment vertical="center"/>
    </xf>
    <xf numFmtId="0" fontId="0" fillId="0" borderId="1" xfId="0" applyBorder="1">
      <alignment vertical="center"/>
    </xf>
    <xf numFmtId="176" fontId="0" fillId="0" borderId="0" xfId="0" applyNumberFormat="1">
      <alignment vertical="center"/>
    </xf>
    <xf numFmtId="0" fontId="0" fillId="0" borderId="0" xfId="0" applyAlignment="1">
      <alignment vertical="center" shrinkToFit="1"/>
    </xf>
    <xf numFmtId="0" fontId="15" fillId="0" borderId="0" xfId="0" applyFont="1">
      <alignment vertical="center"/>
    </xf>
    <xf numFmtId="0" fontId="15" fillId="0" borderId="0" xfId="0" applyFont="1" applyAlignment="1">
      <alignment vertical="center" shrinkToFit="1"/>
    </xf>
    <xf numFmtId="0" fontId="15" fillId="0" borderId="0" xfId="0" applyFont="1" applyAlignment="1">
      <alignment horizontal="center" vertical="center"/>
    </xf>
    <xf numFmtId="0" fontId="10" fillId="0" borderId="14" xfId="0" applyFont="1" applyBorder="1" applyAlignment="1">
      <alignment horizontal="center" vertical="center" shrinkToFit="1"/>
    </xf>
    <xf numFmtId="2" fontId="10" fillId="0" borderId="18" xfId="0" applyNumberFormat="1" applyFont="1" applyBorder="1">
      <alignment vertical="center"/>
    </xf>
    <xf numFmtId="2" fontId="10" fillId="0" borderId="9" xfId="0" applyNumberFormat="1" applyFont="1" applyBorder="1">
      <alignment vertical="center"/>
    </xf>
    <xf numFmtId="2" fontId="10" fillId="0" borderId="14" xfId="0" applyNumberFormat="1" applyFont="1" applyBorder="1">
      <alignment vertical="center"/>
    </xf>
    <xf numFmtId="2" fontId="10" fillId="0" borderId="7" xfId="0" applyNumberFormat="1" applyFont="1" applyBorder="1">
      <alignment vertical="center"/>
    </xf>
    <xf numFmtId="0" fontId="10" fillId="0" borderId="30" xfId="0" applyFont="1" applyBorder="1">
      <alignment vertical="center"/>
    </xf>
    <xf numFmtId="2" fontId="10" fillId="0" borderId="1" xfId="0" applyNumberFormat="1" applyFont="1" applyBorder="1">
      <alignment vertical="center"/>
    </xf>
    <xf numFmtId="2" fontId="10" fillId="0" borderId="12" xfId="0" applyNumberFormat="1" applyFont="1" applyBorder="1">
      <alignment vertical="center"/>
    </xf>
    <xf numFmtId="2" fontId="10" fillId="0" borderId="10" xfId="0" applyNumberFormat="1" applyFont="1" applyBorder="1">
      <alignment vertical="center"/>
    </xf>
    <xf numFmtId="0" fontId="10" fillId="0" borderId="21" xfId="0" applyFont="1" applyBorder="1">
      <alignment vertical="center"/>
    </xf>
    <xf numFmtId="2" fontId="10" fillId="0" borderId="1" xfId="2" applyNumberFormat="1" applyFont="1" applyFill="1" applyBorder="1">
      <alignment vertical="center"/>
    </xf>
    <xf numFmtId="0" fontId="10" fillId="0" borderId="1" xfId="0" applyFont="1" applyFill="1" applyBorder="1" applyAlignment="1">
      <alignment horizontal="center" vertical="center" shrinkToFit="1"/>
    </xf>
    <xf numFmtId="0" fontId="10" fillId="0" borderId="19" xfId="0" applyFont="1" applyBorder="1">
      <alignment vertical="center"/>
    </xf>
    <xf numFmtId="0" fontId="10" fillId="0" borderId="1" xfId="0" applyFont="1" applyFill="1" applyBorder="1" applyAlignment="1">
      <alignment horizontal="left" vertical="top"/>
    </xf>
    <xf numFmtId="0" fontId="10" fillId="0" borderId="21" xfId="0" applyFont="1" applyFill="1" applyBorder="1">
      <alignment vertical="center"/>
    </xf>
    <xf numFmtId="0" fontId="10" fillId="0" borderId="1" xfId="0" applyFont="1" applyFill="1" applyBorder="1" applyAlignment="1">
      <alignment horizontal="left" vertical="top" shrinkToFit="1"/>
    </xf>
    <xf numFmtId="179" fontId="10" fillId="0" borderId="0" xfId="0" applyNumberFormat="1" applyFont="1">
      <alignment vertical="center"/>
    </xf>
    <xf numFmtId="0" fontId="10" fillId="0" borderId="1" xfId="0" applyFont="1" applyBorder="1">
      <alignment vertical="center"/>
    </xf>
    <xf numFmtId="0" fontId="10" fillId="0" borderId="12" xfId="0" applyFont="1" applyBorder="1">
      <alignment vertical="center"/>
    </xf>
    <xf numFmtId="0" fontId="10" fillId="0" borderId="12" xfId="0" applyFont="1" applyFill="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2" fontId="10" fillId="0" borderId="86" xfId="0" applyNumberFormat="1" applyFont="1" applyBorder="1">
      <alignment vertical="center"/>
    </xf>
    <xf numFmtId="0" fontId="10" fillId="0" borderId="1" xfId="0" applyNumberFormat="1"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top"/>
    </xf>
    <xf numFmtId="2" fontId="10" fillId="0" borderId="1" xfId="0" applyNumberFormat="1" applyFont="1" applyFill="1" applyBorder="1">
      <alignment vertical="center"/>
    </xf>
    <xf numFmtId="2" fontId="10" fillId="0" borderId="12" xfId="0" applyNumberFormat="1" applyFont="1" applyFill="1" applyBorder="1">
      <alignment vertical="center"/>
    </xf>
    <xf numFmtId="2" fontId="10" fillId="0" borderId="10" xfId="0" applyNumberFormat="1" applyFont="1" applyFill="1" applyBorder="1">
      <alignment vertical="center"/>
    </xf>
    <xf numFmtId="0" fontId="10" fillId="0" borderId="7" xfId="0" applyFont="1" applyBorder="1" applyAlignment="1">
      <alignment horizontal="left" vertical="top"/>
    </xf>
    <xf numFmtId="0" fontId="10" fillId="0" borderId="9" xfId="0" applyFont="1" applyBorder="1" applyAlignment="1">
      <alignment horizontal="left" vertical="top"/>
    </xf>
    <xf numFmtId="2" fontId="10" fillId="0" borderId="11" xfId="0" applyNumberFormat="1" applyFont="1" applyBorder="1">
      <alignment vertical="center"/>
    </xf>
    <xf numFmtId="9" fontId="10" fillId="0" borderId="21" xfId="0" applyNumberFormat="1" applyFont="1" applyFill="1" applyBorder="1">
      <alignment vertical="center"/>
    </xf>
    <xf numFmtId="0" fontId="10" fillId="8" borderId="12" xfId="8" applyFont="1" applyFill="1" applyBorder="1">
      <alignment vertical="center"/>
    </xf>
    <xf numFmtId="180" fontId="10" fillId="0" borderId="18" xfId="8" applyNumberFormat="1" applyFont="1" applyFill="1" applyBorder="1">
      <alignment vertical="center"/>
    </xf>
    <xf numFmtId="180" fontId="10" fillId="0" borderId="1" xfId="8" applyNumberFormat="1" applyFont="1" applyFill="1" applyBorder="1">
      <alignment vertical="center"/>
    </xf>
    <xf numFmtId="0" fontId="10" fillId="0" borderId="12" xfId="0" applyFont="1" applyFill="1" applyBorder="1">
      <alignment vertical="center"/>
    </xf>
    <xf numFmtId="0" fontId="10" fillId="9" borderId="1" xfId="8" applyFont="1" applyFill="1" applyBorder="1">
      <alignment vertical="center"/>
    </xf>
    <xf numFmtId="0" fontId="10" fillId="9" borderId="1" xfId="0" applyFont="1" applyFill="1" applyBorder="1">
      <alignment vertical="center"/>
    </xf>
    <xf numFmtId="0" fontId="10" fillId="9" borderId="24" xfId="8" applyFont="1" applyFill="1" applyBorder="1">
      <alignment vertical="center"/>
    </xf>
    <xf numFmtId="0" fontId="10" fillId="8" borderId="6" xfId="8" applyFont="1" applyFill="1" applyBorder="1">
      <alignment vertical="center"/>
    </xf>
    <xf numFmtId="180" fontId="10" fillId="9" borderId="1" xfId="8" applyNumberFormat="1" applyFont="1" applyFill="1" applyBorder="1">
      <alignment vertical="center"/>
    </xf>
    <xf numFmtId="0" fontId="10" fillId="9" borderId="14" xfId="8" applyFont="1" applyFill="1" applyBorder="1">
      <alignment vertical="center"/>
    </xf>
    <xf numFmtId="178" fontId="10" fillId="0" borderId="1" xfId="0" applyNumberFormat="1" applyFont="1" applyBorder="1">
      <alignment vertical="center"/>
    </xf>
    <xf numFmtId="180" fontId="10" fillId="9" borderId="12" xfId="8" applyNumberFormat="1" applyFont="1" applyFill="1" applyBorder="1">
      <alignment vertical="center"/>
    </xf>
    <xf numFmtId="0" fontId="10" fillId="0" borderId="24" xfId="0" applyFont="1" applyBorder="1" applyAlignment="1">
      <alignment horizontal="center" vertical="center"/>
    </xf>
    <xf numFmtId="0" fontId="10" fillId="9" borderId="12" xfId="8" applyFont="1" applyFill="1" applyBorder="1">
      <alignment vertical="center"/>
    </xf>
    <xf numFmtId="184" fontId="4" fillId="9" borderId="1" xfId="0" applyNumberFormat="1" applyFont="1" applyFill="1" applyBorder="1">
      <alignment vertical="center"/>
    </xf>
    <xf numFmtId="1" fontId="0" fillId="9" borderId="1" xfId="0" applyNumberFormat="1" applyFill="1" applyBorder="1">
      <alignment vertical="center"/>
    </xf>
    <xf numFmtId="2" fontId="0" fillId="9" borderId="1" xfId="0" applyNumberFormat="1" applyFill="1" applyBorder="1">
      <alignment vertical="center"/>
    </xf>
    <xf numFmtId="0" fontId="4" fillId="0" borderId="0" xfId="0" applyFont="1">
      <alignment vertical="center"/>
    </xf>
    <xf numFmtId="0" fontId="10" fillId="0" borderId="86" xfId="0" applyFont="1" applyBorder="1">
      <alignment vertical="center"/>
    </xf>
    <xf numFmtId="0" fontId="10" fillId="8" borderId="12" xfId="0" applyFont="1" applyFill="1" applyBorder="1">
      <alignment vertical="center"/>
    </xf>
    <xf numFmtId="180" fontId="10" fillId="0" borderId="110" xfId="8" applyNumberFormat="1" applyFont="1" applyFill="1" applyBorder="1">
      <alignment vertical="center"/>
    </xf>
    <xf numFmtId="180" fontId="10" fillId="0" borderId="76" xfId="8" applyNumberFormat="1" applyFont="1" applyFill="1" applyBorder="1">
      <alignment vertical="center"/>
    </xf>
    <xf numFmtId="0" fontId="10" fillId="9" borderId="76" xfId="8" applyFont="1" applyFill="1" applyBorder="1">
      <alignment vertical="center"/>
    </xf>
    <xf numFmtId="0" fontId="10" fillId="0" borderId="76" xfId="0" applyFont="1" applyBorder="1">
      <alignment vertical="center"/>
    </xf>
    <xf numFmtId="0" fontId="10" fillId="9" borderId="76" xfId="0" applyFont="1" applyFill="1" applyBorder="1">
      <alignment vertical="center"/>
    </xf>
    <xf numFmtId="0" fontId="10" fillId="9" borderId="111" xfId="8" applyFont="1" applyFill="1" applyBorder="1">
      <alignment vertical="center"/>
    </xf>
    <xf numFmtId="176" fontId="0" fillId="6" borderId="36" xfId="0" applyNumberFormat="1" applyFill="1" applyBorder="1" applyAlignment="1">
      <alignment horizontal="center" vertical="center"/>
    </xf>
    <xf numFmtId="0" fontId="0" fillId="6" borderId="116" xfId="0" applyFill="1" applyBorder="1" applyAlignment="1">
      <alignment horizontal="center" vertical="center" shrinkToFit="1"/>
    </xf>
    <xf numFmtId="38" fontId="4" fillId="0" borderId="1" xfId="1" applyFont="1" applyBorder="1">
      <alignment vertical="center"/>
    </xf>
    <xf numFmtId="38" fontId="4" fillId="9" borderId="1" xfId="1" applyFont="1" applyFill="1" applyBorder="1">
      <alignment vertical="center"/>
    </xf>
    <xf numFmtId="0" fontId="0" fillId="0" borderId="0" xfId="0" applyFont="1">
      <alignment vertical="center"/>
    </xf>
    <xf numFmtId="0" fontId="4" fillId="0" borderId="1" xfId="0" applyFont="1" applyBorder="1">
      <alignment vertical="center"/>
    </xf>
    <xf numFmtId="0" fontId="4" fillId="0" borderId="0" xfId="0" applyFont="1" applyFill="1" applyBorder="1">
      <alignment vertical="center"/>
    </xf>
    <xf numFmtId="0" fontId="4" fillId="0" borderId="1" xfId="0" applyFont="1" applyBorder="1" applyAlignment="1">
      <alignment vertical="center"/>
    </xf>
    <xf numFmtId="0" fontId="4" fillId="0" borderId="0" xfId="0" applyFont="1" applyFill="1">
      <alignment vertical="center"/>
    </xf>
    <xf numFmtId="0" fontId="4" fillId="0" borderId="0" xfId="0" applyFont="1" applyAlignment="1">
      <alignment horizontal="left" vertical="center"/>
    </xf>
    <xf numFmtId="181" fontId="4" fillId="11" borderId="1" xfId="0" applyNumberFormat="1" applyFont="1" applyFill="1" applyBorder="1" applyAlignment="1">
      <alignment horizontal="center" vertical="center"/>
    </xf>
    <xf numFmtId="0" fontId="4" fillId="9" borderId="1" xfId="0" applyFont="1" applyFill="1" applyBorder="1" applyAlignment="1">
      <alignment horizontal="left" vertical="center"/>
    </xf>
    <xf numFmtId="0" fontId="4" fillId="9" borderId="1" xfId="0" applyFont="1" applyFill="1" applyBorder="1">
      <alignment vertical="center"/>
    </xf>
    <xf numFmtId="180" fontId="4" fillId="0" borderId="1" xfId="0" applyNumberFormat="1" applyFont="1" applyBorder="1">
      <alignment vertical="center"/>
    </xf>
    <xf numFmtId="9" fontId="4" fillId="0" borderId="1" xfId="0" applyNumberFormat="1" applyFont="1" applyBorder="1">
      <alignment vertical="center"/>
    </xf>
    <xf numFmtId="182" fontId="4" fillId="0" borderId="1" xfId="0" applyNumberFormat="1" applyFont="1" applyBorder="1">
      <alignment vertical="center"/>
    </xf>
    <xf numFmtId="0" fontId="4" fillId="0" borderId="1" xfId="0" applyNumberFormat="1" applyFont="1" applyBorder="1">
      <alignment vertical="center"/>
    </xf>
    <xf numFmtId="182" fontId="4" fillId="0" borderId="1" xfId="3" applyNumberFormat="1" applyFont="1" applyBorder="1">
      <alignment vertical="center"/>
    </xf>
    <xf numFmtId="180" fontId="4" fillId="0" borderId="1" xfId="1" applyNumberFormat="1" applyFont="1" applyBorder="1">
      <alignment vertical="center"/>
    </xf>
    <xf numFmtId="2" fontId="4" fillId="0" borderId="1" xfId="0" applyNumberFormat="1" applyFont="1" applyBorder="1">
      <alignment vertical="center"/>
    </xf>
    <xf numFmtId="0" fontId="4" fillId="9" borderId="67" xfId="0" applyFont="1" applyFill="1" applyBorder="1">
      <alignment vertical="center"/>
    </xf>
    <xf numFmtId="0" fontId="4" fillId="0" borderId="67" xfId="0" applyFont="1" applyBorder="1">
      <alignment vertical="center"/>
    </xf>
    <xf numFmtId="180" fontId="4" fillId="0" borderId="67" xfId="0" applyNumberFormat="1" applyFont="1" applyBorder="1">
      <alignment vertical="center"/>
    </xf>
    <xf numFmtId="38" fontId="4" fillId="0" borderId="67" xfId="1" applyFont="1" applyBorder="1">
      <alignment vertical="center"/>
    </xf>
    <xf numFmtId="9" fontId="4" fillId="0" borderId="67" xfId="0" applyNumberFormat="1" applyFont="1" applyBorder="1">
      <alignment vertical="center"/>
    </xf>
    <xf numFmtId="182" fontId="4" fillId="0" borderId="67" xfId="3" applyNumberFormat="1" applyFont="1" applyBorder="1">
      <alignment vertical="center"/>
    </xf>
    <xf numFmtId="0" fontId="4" fillId="0" borderId="67" xfId="0" applyNumberFormat="1" applyFont="1" applyBorder="1">
      <alignment vertical="center"/>
    </xf>
    <xf numFmtId="180" fontId="4" fillId="0" borderId="13" xfId="0" applyNumberFormat="1" applyFont="1" applyBorder="1">
      <alignment vertical="center"/>
    </xf>
    <xf numFmtId="0" fontId="4" fillId="0" borderId="5" xfId="0" applyFont="1" applyBorder="1">
      <alignment vertical="center"/>
    </xf>
    <xf numFmtId="38" fontId="4" fillId="0" borderId="13" xfId="1" applyFont="1" applyBorder="1">
      <alignment vertical="center"/>
    </xf>
    <xf numFmtId="0" fontId="4" fillId="0" borderId="13" xfId="0" applyFont="1" applyBorder="1">
      <alignment vertical="center"/>
    </xf>
    <xf numFmtId="180" fontId="4" fillId="0" borderId="5" xfId="0" applyNumberFormat="1" applyFont="1" applyBorder="1">
      <alignment vertical="center"/>
    </xf>
    <xf numFmtId="9" fontId="4" fillId="0" borderId="0" xfId="0" applyNumberFormat="1" applyFont="1" applyBorder="1">
      <alignment vertical="center"/>
    </xf>
    <xf numFmtId="182" fontId="4" fillId="0" borderId="0" xfId="3" applyNumberFormat="1" applyFont="1" applyBorder="1">
      <alignment vertical="center"/>
    </xf>
    <xf numFmtId="0" fontId="4" fillId="0" borderId="0" xfId="0" applyFont="1" applyBorder="1">
      <alignment vertical="center"/>
    </xf>
    <xf numFmtId="180" fontId="4" fillId="0" borderId="1" xfId="0" applyNumberFormat="1" applyFont="1" applyFill="1" applyBorder="1">
      <alignment vertical="center"/>
    </xf>
    <xf numFmtId="38" fontId="4" fillId="0" borderId="1" xfId="0" applyNumberFormat="1" applyFont="1" applyBorder="1">
      <alignment vertical="center"/>
    </xf>
    <xf numFmtId="0" fontId="4" fillId="0" borderId="67" xfId="0" applyFont="1" applyFill="1" applyBorder="1" applyAlignment="1">
      <alignment horizontal="left" vertical="center"/>
    </xf>
    <xf numFmtId="0" fontId="4" fillId="9" borderId="0" xfId="0" applyFont="1" applyFill="1">
      <alignment vertical="center"/>
    </xf>
    <xf numFmtId="180" fontId="4" fillId="9" borderId="0" xfId="0" applyNumberFormat="1" applyFont="1" applyFill="1" applyBorder="1">
      <alignment vertical="center"/>
    </xf>
    <xf numFmtId="0" fontId="4" fillId="9" borderId="3" xfId="0" applyFont="1" applyFill="1" applyBorder="1">
      <alignment vertical="center"/>
    </xf>
    <xf numFmtId="0" fontId="4" fillId="9" borderId="0" xfId="0" applyFont="1" applyFill="1" applyBorder="1">
      <alignment vertical="center"/>
    </xf>
    <xf numFmtId="180" fontId="4" fillId="0" borderId="14" xfId="0" applyNumberFormat="1" applyFont="1" applyBorder="1">
      <alignment vertical="center"/>
    </xf>
    <xf numFmtId="0" fontId="4" fillId="0" borderId="7" xfId="0" applyFont="1" applyBorder="1">
      <alignment vertical="center"/>
    </xf>
    <xf numFmtId="38" fontId="4" fillId="0" borderId="14" xfId="1" applyFont="1" applyBorder="1">
      <alignment vertical="center"/>
    </xf>
    <xf numFmtId="0" fontId="4" fillId="0" borderId="14" xfId="0" applyFont="1" applyBorder="1">
      <alignment vertical="center"/>
    </xf>
    <xf numFmtId="2" fontId="4" fillId="0" borderId="5" xfId="0" applyNumberFormat="1" applyFont="1" applyBorder="1">
      <alignment vertical="center"/>
    </xf>
    <xf numFmtId="0" fontId="4" fillId="0" borderId="80" xfId="0" applyFont="1" applyBorder="1">
      <alignment vertical="center"/>
    </xf>
    <xf numFmtId="0" fontId="4" fillId="0" borderId="3" xfId="0" applyFont="1" applyBorder="1">
      <alignment vertical="center"/>
    </xf>
    <xf numFmtId="0" fontId="4" fillId="4" borderId="67" xfId="0" applyFont="1" applyFill="1" applyBorder="1" applyAlignment="1">
      <alignment horizontal="center" vertical="center"/>
    </xf>
    <xf numFmtId="0" fontId="4" fillId="0" borderId="77" xfId="0" applyFont="1" applyBorder="1">
      <alignment vertical="center"/>
    </xf>
    <xf numFmtId="2" fontId="4" fillId="0" borderId="0" xfId="0" applyNumberFormat="1" applyFont="1" applyBorder="1">
      <alignment vertical="center"/>
    </xf>
    <xf numFmtId="181" fontId="4" fillId="11" borderId="13" xfId="0" applyNumberFormat="1" applyFont="1" applyFill="1" applyBorder="1" applyAlignment="1">
      <alignment horizontal="center" vertical="center"/>
    </xf>
    <xf numFmtId="2" fontId="4" fillId="0" borderId="7" xfId="0" applyNumberFormat="1" applyFont="1" applyBorder="1">
      <alignment vertical="center"/>
    </xf>
    <xf numFmtId="0" fontId="4" fillId="0" borderId="78" xfId="0" applyFont="1" applyBorder="1" applyAlignment="1">
      <alignment horizontal="center" vertical="center"/>
    </xf>
    <xf numFmtId="9" fontId="4" fillId="0" borderId="78" xfId="0" applyNumberFormat="1" applyFont="1" applyBorder="1">
      <alignment vertical="center"/>
    </xf>
    <xf numFmtId="182" fontId="4" fillId="0" borderId="78" xfId="3" applyNumberFormat="1" applyFont="1" applyBorder="1">
      <alignment vertical="center"/>
    </xf>
    <xf numFmtId="0" fontId="4" fillId="0" borderId="78" xfId="0" applyFont="1" applyBorder="1">
      <alignment vertical="center"/>
    </xf>
    <xf numFmtId="0" fontId="4" fillId="12" borderId="5" xfId="0" applyFont="1" applyFill="1" applyBorder="1" applyAlignment="1">
      <alignment horizontal="center" vertical="center"/>
    </xf>
    <xf numFmtId="180" fontId="4" fillId="0" borderId="15" xfId="0" applyNumberFormat="1" applyFont="1" applyBorder="1">
      <alignment vertical="center"/>
    </xf>
    <xf numFmtId="0" fontId="4" fillId="0" borderId="67" xfId="0" applyFont="1" applyBorder="1" applyAlignment="1">
      <alignment vertical="center" shrinkToFit="1"/>
    </xf>
    <xf numFmtId="0" fontId="4" fillId="8" borderId="13" xfId="0" applyFont="1" applyFill="1" applyBorder="1">
      <alignment vertical="center"/>
    </xf>
    <xf numFmtId="177" fontId="4" fillId="9" borderId="1" xfId="1" applyNumberFormat="1" applyFont="1" applyFill="1" applyBorder="1">
      <alignment vertical="center"/>
    </xf>
    <xf numFmtId="38" fontId="4" fillId="0" borderId="67" xfId="0" applyNumberFormat="1" applyFont="1" applyBorder="1">
      <alignment vertical="center"/>
    </xf>
    <xf numFmtId="0" fontId="4" fillId="8" borderId="15" xfId="0" applyFont="1" applyFill="1" applyBorder="1">
      <alignment vertical="center"/>
    </xf>
    <xf numFmtId="0" fontId="4" fillId="8" borderId="14" xfId="0" applyFont="1" applyFill="1" applyBorder="1">
      <alignment vertical="center"/>
    </xf>
    <xf numFmtId="0" fontId="4" fillId="0" borderId="0" xfId="0" applyFont="1" applyFill="1" applyBorder="1" applyAlignment="1">
      <alignment horizontal="left" vertical="center"/>
    </xf>
    <xf numFmtId="38" fontId="4" fillId="0" borderId="0" xfId="0" applyNumberFormat="1" applyFont="1" applyFill="1" applyBorder="1" applyAlignment="1">
      <alignment horizontal="left" vertical="center"/>
    </xf>
    <xf numFmtId="177" fontId="4" fillId="0" borderId="0" xfId="1" applyNumberFormat="1" applyFont="1" applyFill="1" applyBorder="1" applyAlignment="1">
      <alignment horizontal="left" vertical="center"/>
    </xf>
    <xf numFmtId="1" fontId="4" fillId="0" borderId="0" xfId="0" applyNumberFormat="1" applyFont="1">
      <alignment vertical="center"/>
    </xf>
    <xf numFmtId="177" fontId="4" fillId="0" borderId="8" xfId="0" applyNumberFormat="1" applyFont="1" applyBorder="1">
      <alignment vertical="center"/>
    </xf>
    <xf numFmtId="180" fontId="4" fillId="0" borderId="77" xfId="0" applyNumberFormat="1" applyFont="1" applyBorder="1">
      <alignment vertical="center"/>
    </xf>
    <xf numFmtId="0" fontId="9" fillId="9" borderId="0" xfId="0" applyFont="1" applyFill="1" applyBorder="1" applyAlignment="1">
      <alignment horizontal="center" vertical="center"/>
    </xf>
    <xf numFmtId="180" fontId="4" fillId="0" borderId="13" xfId="1" applyNumberFormat="1" applyFont="1" applyBorder="1">
      <alignment vertical="center"/>
    </xf>
    <xf numFmtId="0" fontId="4" fillId="4" borderId="13" xfId="0" applyFont="1" applyFill="1" applyBorder="1" applyAlignment="1">
      <alignment horizontal="center" vertical="center"/>
    </xf>
    <xf numFmtId="0" fontId="4" fillId="0" borderId="15" xfId="0" applyFont="1" applyBorder="1">
      <alignment vertical="center"/>
    </xf>
    <xf numFmtId="38" fontId="4" fillId="0" borderId="15" xfId="1" applyFont="1" applyBorder="1">
      <alignment vertical="center"/>
    </xf>
    <xf numFmtId="0" fontId="4" fillId="9" borderId="13" xfId="0" applyFont="1" applyFill="1" applyBorder="1">
      <alignment vertical="center"/>
    </xf>
    <xf numFmtId="0" fontId="4" fillId="4" borderId="15" xfId="0" applyFont="1" applyFill="1" applyBorder="1" applyAlignment="1">
      <alignment horizontal="center" vertical="center"/>
    </xf>
    <xf numFmtId="180" fontId="4" fillId="9" borderId="1" xfId="1" applyNumberFormat="1" applyFont="1" applyFill="1" applyBorder="1">
      <alignment vertical="center"/>
    </xf>
    <xf numFmtId="38" fontId="4" fillId="0" borderId="0" xfId="0" applyNumberFormat="1" applyFont="1" applyFill="1" applyBorder="1">
      <alignment vertical="center"/>
    </xf>
    <xf numFmtId="0" fontId="4" fillId="0" borderId="0" xfId="0" applyFont="1" applyAlignment="1">
      <alignment horizontal="right" vertical="center"/>
    </xf>
    <xf numFmtId="190" fontId="4" fillId="0" borderId="12" xfId="0" applyNumberFormat="1" applyFont="1" applyBorder="1">
      <alignment vertical="center"/>
    </xf>
    <xf numFmtId="190" fontId="4" fillId="0" borderId="1" xfId="0" applyNumberFormat="1" applyFont="1" applyBorder="1">
      <alignment vertical="center"/>
    </xf>
    <xf numFmtId="190" fontId="4" fillId="0" borderId="1" xfId="0" applyNumberFormat="1" applyFont="1" applyBorder="1" applyAlignment="1">
      <alignment vertical="center"/>
    </xf>
    <xf numFmtId="38" fontId="4" fillId="0" borderId="74" xfId="1" applyFont="1" applyBorder="1">
      <alignment vertical="center"/>
    </xf>
    <xf numFmtId="38" fontId="4" fillId="0" borderId="60" xfId="1" applyFont="1" applyBorder="1">
      <alignment vertical="center"/>
    </xf>
    <xf numFmtId="38" fontId="4" fillId="0" borderId="71" xfId="1" applyFont="1" applyBorder="1">
      <alignment vertical="center"/>
    </xf>
    <xf numFmtId="38" fontId="4" fillId="0" borderId="72" xfId="1" applyFont="1" applyBorder="1">
      <alignment vertical="center"/>
    </xf>
    <xf numFmtId="38" fontId="9" fillId="0" borderId="1" xfId="1" applyFont="1" applyFill="1" applyBorder="1" applyAlignment="1">
      <alignment horizontal="right" vertical="center"/>
    </xf>
    <xf numFmtId="0" fontId="4" fillId="9" borderId="0" xfId="0" applyFont="1" applyFill="1" applyAlignment="1">
      <alignment horizontal="right" vertical="center"/>
    </xf>
    <xf numFmtId="0" fontId="4" fillId="0" borderId="0" xfId="0" applyFont="1" applyBorder="1" applyAlignment="1">
      <alignment horizontal="right" vertical="center"/>
    </xf>
    <xf numFmtId="0" fontId="0" fillId="6" borderId="43" xfId="0" applyFill="1" applyBorder="1" applyAlignment="1">
      <alignment vertical="center"/>
    </xf>
    <xf numFmtId="0" fontId="0" fillId="6" borderId="59" xfId="0" applyFill="1" applyBorder="1" applyAlignment="1">
      <alignment horizontal="left" vertical="center"/>
    </xf>
    <xf numFmtId="38" fontId="0" fillId="0" borderId="47" xfId="1" applyFont="1" applyBorder="1" applyAlignment="1">
      <alignment vertical="center"/>
    </xf>
    <xf numFmtId="0" fontId="0" fillId="6" borderId="75" xfId="0" applyFill="1" applyBorder="1" applyAlignment="1">
      <alignment horizontal="left" vertical="center"/>
    </xf>
    <xf numFmtId="38" fontId="0" fillId="0" borderId="5" xfId="1" applyFont="1" applyBorder="1" applyAlignment="1">
      <alignment vertical="center"/>
    </xf>
    <xf numFmtId="38" fontId="0" fillId="6" borderId="43" xfId="1" applyFont="1" applyFill="1" applyBorder="1" applyAlignment="1">
      <alignment vertical="center"/>
    </xf>
    <xf numFmtId="0" fontId="0" fillId="6" borderId="120" xfId="0" applyFill="1" applyBorder="1" applyAlignment="1">
      <alignment horizontal="left" vertical="center"/>
    </xf>
    <xf numFmtId="0" fontId="0" fillId="0" borderId="82" xfId="0" applyBorder="1">
      <alignment vertical="center"/>
    </xf>
    <xf numFmtId="0" fontId="4" fillId="8" borderId="1" xfId="0" applyFont="1" applyFill="1" applyBorder="1" applyAlignment="1">
      <alignment horizontal="center" vertical="center"/>
    </xf>
    <xf numFmtId="0" fontId="4" fillId="0" borderId="2"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center" vertical="center"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shrinkToFit="1"/>
    </xf>
    <xf numFmtId="2" fontId="10" fillId="0" borderId="0" xfId="0" applyNumberFormat="1" applyFont="1" applyBorder="1">
      <alignment vertical="center"/>
    </xf>
    <xf numFmtId="1" fontId="10" fillId="0" borderId="0" xfId="0" applyNumberFormat="1" applyFont="1" applyBorder="1">
      <alignment vertical="center"/>
    </xf>
    <xf numFmtId="185" fontId="10" fillId="0" borderId="0" xfId="0" applyNumberFormat="1" applyFont="1" applyBorder="1" applyAlignment="1">
      <alignment horizontal="left" vertical="center" wrapText="1"/>
    </xf>
    <xf numFmtId="0" fontId="4" fillId="0" borderId="20" xfId="0" applyFont="1" applyBorder="1" applyAlignment="1">
      <alignment horizontal="center" vertical="center"/>
    </xf>
    <xf numFmtId="0" fontId="4" fillId="0" borderId="4" xfId="0" applyFont="1" applyBorder="1" applyAlignment="1">
      <alignment vertical="top"/>
    </xf>
    <xf numFmtId="0" fontId="4" fillId="0" borderId="15" xfId="0" applyFont="1" applyBorder="1" applyAlignment="1">
      <alignment horizontal="center" vertical="center" shrinkToFit="1"/>
    </xf>
    <xf numFmtId="0" fontId="4" fillId="0" borderId="6" xfId="0" applyFont="1" applyBorder="1" applyAlignment="1">
      <alignment vertical="top"/>
    </xf>
    <xf numFmtId="0" fontId="4" fillId="0" borderId="85" xfId="0" applyFont="1" applyBorder="1" applyAlignment="1">
      <alignment vertical="top"/>
    </xf>
    <xf numFmtId="0" fontId="4" fillId="0" borderId="29"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8" xfId="0" applyFont="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3" xfId="0" applyFont="1" applyBorder="1" applyAlignment="1">
      <alignment horizontal="center" vertical="center" shrinkToFit="1"/>
    </xf>
    <xf numFmtId="0" fontId="20" fillId="0" borderId="1" xfId="0" applyFont="1" applyBorder="1" applyAlignment="1">
      <alignment horizontal="center" vertical="center" shrinkToFit="1"/>
    </xf>
    <xf numFmtId="2" fontId="4" fillId="0" borderId="1" xfId="0" applyNumberFormat="1" applyFont="1" applyBorder="1" applyAlignment="1">
      <alignment vertical="center"/>
    </xf>
    <xf numFmtId="0" fontId="4" fillId="0" borderId="69" xfId="0" applyFont="1" applyBorder="1" applyAlignment="1">
      <alignment horizontal="center" vertical="center"/>
    </xf>
    <xf numFmtId="185" fontId="10" fillId="0" borderId="21" xfId="0" applyNumberFormat="1" applyFont="1" applyBorder="1" applyAlignment="1">
      <alignment horizontal="left" vertical="center" wrapText="1"/>
    </xf>
    <xf numFmtId="2" fontId="10" fillId="0" borderId="24" xfId="0" applyNumberFormat="1" applyFont="1" applyBorder="1">
      <alignment vertical="center"/>
    </xf>
    <xf numFmtId="185" fontId="10" fillId="0" borderId="25" xfId="0" applyNumberFormat="1" applyFont="1" applyBorder="1" applyAlignment="1">
      <alignment horizontal="left" vertical="center" wrapText="1"/>
    </xf>
    <xf numFmtId="0" fontId="10" fillId="0" borderId="24" xfId="0" applyFont="1" applyBorder="1" applyAlignment="1">
      <alignment horizontal="left" vertical="top"/>
    </xf>
    <xf numFmtId="0" fontId="10" fillId="0" borderId="25" xfId="0" applyFont="1" applyBorder="1">
      <alignment vertical="center"/>
    </xf>
    <xf numFmtId="0" fontId="4" fillId="0" borderId="31" xfId="0" applyFont="1" applyBorder="1" applyAlignment="1">
      <alignment horizontal="center" vertical="center"/>
    </xf>
    <xf numFmtId="185" fontId="4" fillId="0" borderId="21" xfId="0" applyNumberFormat="1" applyFont="1" applyBorder="1" applyAlignment="1">
      <alignment horizontal="left" vertical="center"/>
    </xf>
    <xf numFmtId="0" fontId="4" fillId="0" borderId="21" xfId="0" applyFont="1" applyBorder="1" applyAlignment="1">
      <alignment vertical="center"/>
    </xf>
    <xf numFmtId="185" fontId="4" fillId="0" borderId="25" xfId="0" applyNumberFormat="1" applyFont="1" applyBorder="1" applyAlignment="1">
      <alignment horizontal="left" vertical="center"/>
    </xf>
    <xf numFmtId="180" fontId="10" fillId="9" borderId="86" xfId="8" applyNumberFormat="1" applyFont="1" applyFill="1" applyBorder="1">
      <alignment vertical="center"/>
    </xf>
    <xf numFmtId="180" fontId="10" fillId="9" borderId="18" xfId="8" applyNumberFormat="1" applyFont="1" applyFill="1" applyBorder="1">
      <alignment vertical="center"/>
    </xf>
    <xf numFmtId="0" fontId="10" fillId="0" borderId="42" xfId="0" applyFont="1" applyBorder="1" applyAlignment="1">
      <alignment horizontal="left" vertical="top"/>
    </xf>
    <xf numFmtId="0" fontId="10" fillId="0" borderId="85" xfId="0" applyFont="1" applyBorder="1" applyAlignment="1">
      <alignment horizontal="left" vertical="top"/>
    </xf>
    <xf numFmtId="0" fontId="10" fillId="9" borderId="29" xfId="8" applyFont="1" applyFill="1" applyBorder="1">
      <alignment vertical="center"/>
    </xf>
    <xf numFmtId="0" fontId="10" fillId="0" borderId="98" xfId="0" applyFont="1" applyBorder="1">
      <alignment vertical="center"/>
    </xf>
    <xf numFmtId="0" fontId="10" fillId="0" borderId="24" xfId="0" applyFont="1" applyFill="1" applyBorder="1" applyAlignment="1">
      <alignment horizontal="center" vertical="center" shrinkToFit="1"/>
    </xf>
    <xf numFmtId="2" fontId="10" fillId="0" borderId="27" xfId="0" applyNumberFormat="1" applyFont="1" applyBorder="1">
      <alignment vertical="center"/>
    </xf>
    <xf numFmtId="2" fontId="10" fillId="0" borderId="26" xfId="0" applyNumberFormat="1" applyFont="1" applyBorder="1">
      <alignment vertical="center"/>
    </xf>
    <xf numFmtId="1" fontId="4" fillId="0" borderId="12" xfId="0" applyNumberFormat="1" applyFont="1" applyBorder="1" applyAlignment="1">
      <alignment vertical="center"/>
    </xf>
    <xf numFmtId="1" fontId="4" fillId="0" borderId="12" xfId="0" applyNumberFormat="1" applyFont="1" applyBorder="1" applyAlignment="1">
      <alignment horizontal="right" vertical="center"/>
    </xf>
    <xf numFmtId="1" fontId="4" fillId="0" borderId="27" xfId="0" applyNumberFormat="1" applyFont="1" applyBorder="1" applyAlignment="1">
      <alignment horizontal="right" vertical="center"/>
    </xf>
    <xf numFmtId="2" fontId="10" fillId="0" borderId="76" xfId="0" applyNumberFormat="1" applyFont="1" applyBorder="1">
      <alignment vertical="center"/>
    </xf>
    <xf numFmtId="2" fontId="10" fillId="0" borderId="103" xfId="0" applyNumberFormat="1" applyFont="1" applyBorder="1">
      <alignment vertical="center"/>
    </xf>
    <xf numFmtId="0" fontId="4" fillId="0" borderId="7" xfId="0" applyFont="1" applyBorder="1" applyAlignment="1">
      <alignment horizontal="center" vertical="center"/>
    </xf>
    <xf numFmtId="0" fontId="4" fillId="9" borderId="57" xfId="0" applyFont="1" applyFill="1" applyBorder="1" applyAlignment="1">
      <alignment vertical="center"/>
    </xf>
    <xf numFmtId="0" fontId="4" fillId="9" borderId="67" xfId="0" applyFont="1" applyFill="1" applyBorder="1" applyAlignment="1">
      <alignment horizontal="left" vertical="center" shrinkToFit="1"/>
    </xf>
    <xf numFmtId="193" fontId="4" fillId="9" borderId="68" xfId="0" applyNumberFormat="1" applyFont="1" applyFill="1" applyBorder="1" applyAlignment="1">
      <alignment vertical="center"/>
    </xf>
    <xf numFmtId="38" fontId="4" fillId="9" borderId="67" xfId="1" applyFont="1" applyFill="1" applyBorder="1">
      <alignment vertical="center"/>
    </xf>
    <xf numFmtId="0" fontId="4" fillId="9" borderId="67" xfId="0" applyFont="1" applyFill="1" applyBorder="1" applyAlignment="1">
      <alignment horizontal="left" vertical="center"/>
    </xf>
    <xf numFmtId="0" fontId="4" fillId="4" borderId="58" xfId="0" applyFont="1" applyFill="1" applyBorder="1" applyAlignment="1">
      <alignment horizontal="center" vertical="center"/>
    </xf>
    <xf numFmtId="0" fontId="4" fillId="9" borderId="67" xfId="0" applyFont="1" applyFill="1" applyBorder="1" applyAlignment="1">
      <alignment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180" fontId="4" fillId="9" borderId="1" xfId="0" applyNumberFormat="1" applyFont="1" applyFill="1" applyBorder="1">
      <alignment vertical="center"/>
    </xf>
    <xf numFmtId="180" fontId="4" fillId="9" borderId="13" xfId="0" applyNumberFormat="1" applyFont="1" applyFill="1" applyBorder="1">
      <alignment vertical="center"/>
    </xf>
    <xf numFmtId="180" fontId="4" fillId="9" borderId="67" xfId="0" applyNumberFormat="1" applyFont="1" applyFill="1" applyBorder="1">
      <alignment vertical="center"/>
    </xf>
    <xf numFmtId="0" fontId="0" fillId="0" borderId="0" xfId="0" applyBorder="1" applyAlignment="1">
      <alignment horizontal="left" vertical="center"/>
    </xf>
    <xf numFmtId="38" fontId="0" fillId="0" borderId="0" xfId="1" applyFont="1" applyBorder="1" applyAlignment="1">
      <alignment horizontal="center" vertical="center"/>
    </xf>
    <xf numFmtId="38" fontId="0" fillId="0" borderId="0" xfId="1" applyFont="1" applyBorder="1" applyAlignment="1">
      <alignment vertical="center"/>
    </xf>
    <xf numFmtId="192" fontId="5" fillId="0" borderId="0" xfId="1" applyNumberFormat="1" applyFont="1" applyBorder="1" applyAlignment="1">
      <alignment horizontal="center" vertical="center"/>
    </xf>
    <xf numFmtId="192" fontId="0" fillId="0" borderId="0" xfId="1" applyNumberFormat="1" applyFont="1" applyBorder="1" applyAlignment="1">
      <alignment vertical="center"/>
    </xf>
    <xf numFmtId="0" fontId="0" fillId="9" borderId="0" xfId="0" applyFill="1" applyBorder="1" applyAlignment="1">
      <alignment horizontal="left" vertical="center"/>
    </xf>
    <xf numFmtId="176" fontId="0" fillId="0" borderId="18" xfId="0" applyNumberFormat="1" applyBorder="1" applyAlignment="1">
      <alignment horizontal="center" vertical="center"/>
    </xf>
    <xf numFmtId="0" fontId="0" fillId="0" borderId="19" xfId="0" applyBorder="1" applyAlignment="1">
      <alignment horizontal="center" vertical="center" shrinkToFit="1"/>
    </xf>
    <xf numFmtId="0" fontId="0" fillId="0" borderId="130" xfId="0" applyFill="1" applyBorder="1" applyAlignment="1">
      <alignment vertical="center" shrinkToFit="1"/>
    </xf>
    <xf numFmtId="0" fontId="13" fillId="9" borderId="93" xfId="0" applyFont="1" applyFill="1" applyBorder="1">
      <alignment vertical="center"/>
    </xf>
    <xf numFmtId="0" fontId="0" fillId="9" borderId="96" xfId="0" applyFill="1" applyBorder="1">
      <alignment vertical="center"/>
    </xf>
    <xf numFmtId="0" fontId="0" fillId="9" borderId="109" xfId="0" applyFill="1" applyBorder="1">
      <alignment vertical="center"/>
    </xf>
    <xf numFmtId="0" fontId="4" fillId="9" borderId="90" xfId="0" applyFont="1" applyFill="1" applyBorder="1">
      <alignment vertical="center"/>
    </xf>
    <xf numFmtId="0" fontId="0" fillId="9" borderId="0" xfId="0" applyFill="1" applyBorder="1">
      <alignment vertical="center"/>
    </xf>
    <xf numFmtId="0" fontId="0" fillId="9" borderId="102" xfId="0" applyFill="1" applyBorder="1">
      <alignment vertical="center"/>
    </xf>
    <xf numFmtId="0" fontId="9" fillId="9" borderId="90" xfId="0" applyFont="1" applyFill="1" applyBorder="1">
      <alignment vertical="center"/>
    </xf>
    <xf numFmtId="0" fontId="0" fillId="9" borderId="90" xfId="0" applyFill="1" applyBorder="1">
      <alignment vertical="center"/>
    </xf>
    <xf numFmtId="0" fontId="0" fillId="9" borderId="41" xfId="0" applyFill="1" applyBorder="1">
      <alignment vertical="center"/>
    </xf>
    <xf numFmtId="0" fontId="0" fillId="9" borderId="82" xfId="0" applyFill="1" applyBorder="1">
      <alignment vertical="center"/>
    </xf>
    <xf numFmtId="0" fontId="0" fillId="9" borderId="83" xfId="0" applyFill="1" applyBorder="1">
      <alignment vertical="center"/>
    </xf>
    <xf numFmtId="0" fontId="0" fillId="6" borderId="108" xfId="0" applyFill="1" applyBorder="1" applyAlignment="1">
      <alignment horizontal="center" vertical="center"/>
    </xf>
    <xf numFmtId="0" fontId="0" fillId="0" borderId="135" xfId="0" applyFill="1" applyBorder="1">
      <alignment vertical="center"/>
    </xf>
    <xf numFmtId="176" fontId="13" fillId="0" borderId="135" xfId="0" applyNumberFormat="1" applyFont="1" applyFill="1" applyBorder="1">
      <alignment vertical="center"/>
    </xf>
    <xf numFmtId="0" fontId="0" fillId="0" borderId="136" xfId="0" applyFill="1" applyBorder="1" applyAlignment="1">
      <alignment vertical="center" shrinkToFit="1"/>
    </xf>
    <xf numFmtId="0" fontId="0" fillId="0" borderId="50" xfId="0" applyFill="1" applyBorder="1">
      <alignment vertical="center"/>
    </xf>
    <xf numFmtId="176" fontId="13" fillId="0" borderId="50" xfId="0" applyNumberFormat="1" applyFont="1" applyFill="1" applyBorder="1">
      <alignment vertical="center"/>
    </xf>
    <xf numFmtId="0" fontId="0" fillId="0" borderId="131" xfId="0" applyFill="1" applyBorder="1">
      <alignment vertical="center"/>
    </xf>
    <xf numFmtId="176" fontId="13" fillId="0" borderId="131" xfId="0" applyNumberFormat="1" applyFont="1" applyFill="1" applyBorder="1">
      <alignment vertical="center"/>
    </xf>
    <xf numFmtId="0" fontId="0" fillId="0" borderId="132" xfId="0" applyFill="1" applyBorder="1" applyAlignment="1">
      <alignment vertical="center" shrinkToFit="1"/>
    </xf>
    <xf numFmtId="38" fontId="4" fillId="0" borderId="60" xfId="1" applyFont="1" applyBorder="1" applyAlignment="1">
      <alignment horizontal="right" vertical="center"/>
    </xf>
    <xf numFmtId="0" fontId="4" fillId="6" borderId="137" xfId="0" applyFont="1" applyFill="1" applyBorder="1" applyAlignment="1">
      <alignment horizontal="center" vertical="center"/>
    </xf>
    <xf numFmtId="38" fontId="0" fillId="0" borderId="52" xfId="1" applyFont="1" applyBorder="1" applyAlignment="1">
      <alignment horizontal="right" vertical="center"/>
    </xf>
    <xf numFmtId="38" fontId="0" fillId="0" borderId="53" xfId="1" applyFont="1" applyBorder="1" applyAlignment="1">
      <alignment horizontal="right" vertical="center"/>
    </xf>
    <xf numFmtId="38" fontId="0" fillId="0" borderId="52" xfId="1" applyFont="1" applyBorder="1" applyAlignment="1">
      <alignment horizontal="right" vertical="center" shrinkToFit="1"/>
    </xf>
    <xf numFmtId="0" fontId="10" fillId="0" borderId="21" xfId="0" applyFont="1" applyBorder="1" applyAlignment="1">
      <alignment horizontal="left" vertical="center"/>
    </xf>
    <xf numFmtId="0" fontId="10" fillId="0" borderId="30" xfId="0" applyFont="1" applyBorder="1" applyAlignment="1">
      <alignment horizontal="left" vertical="center"/>
    </xf>
    <xf numFmtId="0" fontId="10" fillId="0" borderId="21" xfId="0" applyFont="1" applyBorder="1" applyAlignment="1">
      <alignment horizontal="left" vertical="center" wrapText="1"/>
    </xf>
    <xf numFmtId="0" fontId="4" fillId="0" borderId="17" xfId="0" applyFont="1" applyBorder="1" applyAlignment="1">
      <alignment horizontal="center" vertical="center"/>
    </xf>
    <xf numFmtId="0" fontId="4" fillId="0" borderId="88" xfId="0" applyFont="1" applyBorder="1" applyAlignment="1">
      <alignment horizontal="center" vertical="center"/>
    </xf>
    <xf numFmtId="0" fontId="17" fillId="0" borderId="0" xfId="0" applyFont="1">
      <alignment vertical="center"/>
    </xf>
    <xf numFmtId="0" fontId="17" fillId="0" borderId="0" xfId="0" applyFont="1" applyFill="1" applyBorder="1" applyAlignment="1">
      <alignment horizontal="left" vertical="center"/>
    </xf>
    <xf numFmtId="191" fontId="17" fillId="0" borderId="0" xfId="0" applyNumberFormat="1" applyFont="1" applyBorder="1" applyAlignment="1">
      <alignment horizontal="center" vertical="center"/>
    </xf>
    <xf numFmtId="180" fontId="10" fillId="0" borderId="1" xfId="8" applyNumberFormat="1" applyFont="1" applyFill="1" applyBorder="1" applyAlignment="1"/>
    <xf numFmtId="0" fontId="17" fillId="0" borderId="0" xfId="0" applyFont="1" applyBorder="1" applyAlignment="1">
      <alignment horizontal="center" vertical="center"/>
    </xf>
    <xf numFmtId="192" fontId="0" fillId="0" borderId="134" xfId="1" applyNumberFormat="1" applyFont="1" applyBorder="1" applyAlignment="1">
      <alignment vertical="center"/>
    </xf>
    <xf numFmtId="0" fontId="17" fillId="0" borderId="0" xfId="0" applyFont="1" applyBorder="1" applyAlignment="1">
      <alignment vertical="center"/>
    </xf>
    <xf numFmtId="0" fontId="26" fillId="0" borderId="0" xfId="0" applyFont="1" applyBorder="1" applyAlignment="1">
      <alignment vertical="center"/>
    </xf>
    <xf numFmtId="180" fontId="4" fillId="0" borderId="67" xfId="1" applyNumberFormat="1" applyFont="1" applyBorder="1">
      <alignment vertical="center"/>
    </xf>
    <xf numFmtId="0" fontId="4" fillId="9" borderId="22" xfId="0" applyFont="1" applyFill="1" applyBorder="1" applyAlignment="1">
      <alignment horizontal="center" vertical="center"/>
    </xf>
    <xf numFmtId="0" fontId="10" fillId="9" borderId="1" xfId="0" applyFont="1" applyFill="1" applyBorder="1" applyAlignment="1">
      <alignment horizontal="center" vertical="center" shrinkToFit="1"/>
    </xf>
    <xf numFmtId="2" fontId="10" fillId="9" borderId="1" xfId="0" applyNumberFormat="1" applyFont="1" applyFill="1" applyBorder="1">
      <alignment vertical="center"/>
    </xf>
    <xf numFmtId="0" fontId="10" fillId="9" borderId="21" xfId="0" applyFont="1" applyFill="1" applyBorder="1">
      <alignment vertical="center"/>
    </xf>
    <xf numFmtId="0" fontId="10" fillId="9" borderId="0" xfId="0" applyNumberFormat="1" applyFont="1" applyFill="1">
      <alignment vertical="center"/>
    </xf>
    <xf numFmtId="0" fontId="10" fillId="9" borderId="0" xfId="0" applyFont="1" applyFill="1">
      <alignment vertical="center"/>
    </xf>
    <xf numFmtId="0" fontId="15" fillId="9" borderId="0" xfId="0" applyFont="1" applyFill="1">
      <alignment vertical="center"/>
    </xf>
    <xf numFmtId="0" fontId="4" fillId="9" borderId="1" xfId="0" applyFont="1" applyFill="1" applyBorder="1" applyAlignment="1">
      <alignment horizontal="center" vertical="center" shrinkToFit="1"/>
    </xf>
    <xf numFmtId="2" fontId="10" fillId="9" borderId="12" xfId="0" applyNumberFormat="1" applyFont="1" applyFill="1" applyBorder="1">
      <alignment vertical="center"/>
    </xf>
    <xf numFmtId="0" fontId="10" fillId="9" borderId="21" xfId="0" applyFont="1" applyFill="1" applyBorder="1" applyAlignment="1">
      <alignment horizontal="left" vertical="center"/>
    </xf>
    <xf numFmtId="0" fontId="10" fillId="9" borderId="1" xfId="0" applyFont="1" applyFill="1" applyBorder="1" applyAlignment="1">
      <alignment horizontal="center" vertical="center"/>
    </xf>
    <xf numFmtId="38" fontId="0" fillId="0" borderId="1" xfId="1" applyFont="1" applyBorder="1" applyAlignment="1">
      <alignment vertical="center"/>
    </xf>
    <xf numFmtId="0" fontId="0" fillId="0" borderId="24" xfId="0" applyBorder="1">
      <alignment vertical="center"/>
    </xf>
    <xf numFmtId="38" fontId="0" fillId="0" borderId="24" xfId="1" applyFont="1" applyBorder="1" applyAlignment="1">
      <alignment vertical="center"/>
    </xf>
    <xf numFmtId="0" fontId="4" fillId="0" borderId="0" xfId="0" applyFont="1" applyAlignment="1">
      <alignment horizontal="center" vertical="center"/>
    </xf>
    <xf numFmtId="0" fontId="0" fillId="16" borderId="70" xfId="0" applyFill="1" applyBorder="1" applyAlignment="1">
      <alignment horizontal="left" vertical="center"/>
    </xf>
    <xf numFmtId="0" fontId="0" fillId="16" borderId="6" xfId="0" applyFill="1" applyBorder="1">
      <alignment vertical="center"/>
    </xf>
    <xf numFmtId="38" fontId="0" fillId="16" borderId="47" xfId="1" applyFont="1" applyFill="1" applyBorder="1" applyAlignment="1">
      <alignment vertical="center"/>
    </xf>
    <xf numFmtId="38" fontId="0" fillId="16" borderId="52" xfId="1" applyFont="1" applyFill="1" applyBorder="1" applyAlignment="1">
      <alignment horizontal="right" vertical="center"/>
    </xf>
    <xf numFmtId="192" fontId="0" fillId="16" borderId="134" xfId="1" applyNumberFormat="1" applyFont="1" applyFill="1" applyBorder="1" applyAlignment="1">
      <alignment vertical="center"/>
    </xf>
    <xf numFmtId="0" fontId="0" fillId="5" borderId="127" xfId="0" applyFill="1" applyBorder="1" applyAlignment="1">
      <alignment horizontal="left" vertical="center"/>
    </xf>
    <xf numFmtId="0" fontId="0" fillId="5" borderId="128" xfId="0" applyFill="1" applyBorder="1">
      <alignment vertical="center"/>
    </xf>
    <xf numFmtId="38" fontId="0" fillId="5" borderId="123" xfId="1" applyFont="1" applyFill="1" applyBorder="1" applyAlignment="1">
      <alignment vertical="center"/>
    </xf>
    <xf numFmtId="38" fontId="0" fillId="5" borderId="126" xfId="1" applyFont="1" applyFill="1" applyBorder="1" applyAlignment="1">
      <alignment horizontal="right" vertical="center"/>
    </xf>
    <xf numFmtId="192" fontId="0" fillId="5" borderId="139" xfId="1" applyNumberFormat="1" applyFont="1" applyFill="1" applyBorder="1" applyAlignment="1">
      <alignment vertical="center"/>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4" fillId="9" borderId="89" xfId="0" applyFont="1" applyFill="1" applyBorder="1" applyAlignment="1">
      <alignment vertical="center"/>
    </xf>
    <xf numFmtId="0" fontId="4" fillId="9" borderId="3" xfId="0" applyFont="1" applyFill="1" applyBorder="1" applyAlignment="1">
      <alignment vertical="center"/>
    </xf>
    <xf numFmtId="0" fontId="4" fillId="9" borderId="87" xfId="0" applyFont="1" applyFill="1" applyBorder="1" applyAlignment="1">
      <alignmen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2" fontId="10" fillId="9" borderId="76" xfId="0" applyNumberFormat="1" applyFont="1" applyFill="1" applyBorder="1">
      <alignment vertical="center"/>
    </xf>
    <xf numFmtId="2" fontId="10" fillId="0" borderId="111" xfId="0" applyNumberFormat="1" applyFont="1" applyBorder="1">
      <alignment vertical="center"/>
    </xf>
    <xf numFmtId="2" fontId="10" fillId="0" borderId="110" xfId="0" applyNumberFormat="1" applyFont="1" applyBorder="1">
      <alignment vertical="center"/>
    </xf>
    <xf numFmtId="2" fontId="4" fillId="0" borderId="76" xfId="0" applyNumberFormat="1" applyFont="1" applyBorder="1" applyAlignment="1">
      <alignment vertical="center"/>
    </xf>
    <xf numFmtId="1" fontId="4" fillId="0" borderId="76" xfId="0" applyNumberFormat="1" applyFont="1" applyBorder="1" applyAlignment="1">
      <alignment vertical="center"/>
    </xf>
    <xf numFmtId="1" fontId="4" fillId="0" borderId="76" xfId="0" applyNumberFormat="1" applyFont="1" applyBorder="1" applyAlignment="1">
      <alignment horizontal="right" vertical="center"/>
    </xf>
    <xf numFmtId="1" fontId="4" fillId="0" borderId="111" xfId="0" applyNumberFormat="1" applyFont="1" applyBorder="1" applyAlignment="1">
      <alignment horizontal="right" vertical="center"/>
    </xf>
    <xf numFmtId="0" fontId="10" fillId="8" borderId="9" xfId="8" applyFont="1" applyFill="1" applyBorder="1">
      <alignment vertical="center"/>
    </xf>
    <xf numFmtId="0" fontId="10" fillId="8" borderId="85" xfId="8" applyFont="1" applyFill="1" applyBorder="1">
      <alignment vertical="center"/>
    </xf>
    <xf numFmtId="2" fontId="10" fillId="0" borderId="76" xfId="2" applyNumberFormat="1" applyFont="1" applyFill="1" applyBorder="1">
      <alignment vertical="center"/>
    </xf>
    <xf numFmtId="2" fontId="10" fillId="0" borderId="76" xfId="0" applyNumberFormat="1" applyFont="1" applyFill="1" applyBorder="1">
      <alignment vertical="center"/>
    </xf>
    <xf numFmtId="180" fontId="10" fillId="9" borderId="110" xfId="8" applyNumberFormat="1" applyFont="1" applyFill="1" applyBorder="1">
      <alignment vertical="center"/>
    </xf>
    <xf numFmtId="180" fontId="10" fillId="9" borderId="76" xfId="8" applyNumberFormat="1" applyFont="1" applyFill="1" applyBorder="1">
      <alignment vertical="center"/>
    </xf>
    <xf numFmtId="0" fontId="10" fillId="9" borderId="103" xfId="8" applyFont="1" applyFill="1" applyBorder="1">
      <alignment vertical="center"/>
    </xf>
    <xf numFmtId="0" fontId="10" fillId="9" borderId="142" xfId="8" applyFont="1" applyFill="1" applyBorder="1">
      <alignment vertical="center"/>
    </xf>
    <xf numFmtId="190" fontId="4" fillId="0" borderId="67" xfId="0" applyNumberFormat="1" applyFont="1" applyBorder="1" applyAlignment="1">
      <alignment vertical="center"/>
    </xf>
    <xf numFmtId="177" fontId="4" fillId="9" borderId="67" xfId="1" applyNumberFormat="1" applyFont="1" applyFill="1" applyBorder="1">
      <alignment vertical="center"/>
    </xf>
    <xf numFmtId="0" fontId="4" fillId="9" borderId="1" xfId="0" applyFont="1" applyFill="1" applyBorder="1" applyAlignment="1">
      <alignment horizontal="center" vertical="center"/>
    </xf>
    <xf numFmtId="176" fontId="0" fillId="9" borderId="1" xfId="0" applyNumberFormat="1" applyFill="1" applyBorder="1">
      <alignment vertical="center"/>
    </xf>
    <xf numFmtId="9" fontId="4" fillId="0" borderId="1" xfId="3" applyFont="1" applyBorder="1">
      <alignment vertical="center"/>
    </xf>
    <xf numFmtId="184" fontId="0" fillId="0" borderId="1" xfId="0" applyNumberFormat="1" applyBorder="1">
      <alignment vertical="center"/>
    </xf>
    <xf numFmtId="176" fontId="0" fillId="9" borderId="1" xfId="0" applyNumberFormat="1" applyFill="1" applyBorder="1" applyAlignment="1">
      <alignment horizontal="right" vertical="center"/>
    </xf>
    <xf numFmtId="183" fontId="0" fillId="9" borderId="1" xfId="0" applyNumberFormat="1" applyFill="1" applyBorder="1" applyAlignment="1">
      <alignment horizontal="right" vertical="center"/>
    </xf>
    <xf numFmtId="38" fontId="0" fillId="0" borderId="21" xfId="0" applyNumberFormat="1" applyBorder="1">
      <alignment vertical="center"/>
    </xf>
    <xf numFmtId="38" fontId="0" fillId="0" borderId="25" xfId="0" applyNumberFormat="1" applyBorder="1">
      <alignment vertical="center"/>
    </xf>
    <xf numFmtId="38" fontId="0" fillId="0" borderId="21" xfId="1" applyFont="1" applyBorder="1">
      <alignment vertical="center"/>
    </xf>
    <xf numFmtId="40" fontId="17" fillId="9" borderId="0" xfId="0" applyNumberFormat="1" applyFont="1" applyFill="1" applyBorder="1" applyAlignment="1">
      <alignment vertical="top" wrapText="1" shrinkToFit="1"/>
    </xf>
    <xf numFmtId="38" fontId="0" fillId="0" borderId="0" xfId="0" applyNumberFormat="1">
      <alignment vertical="center"/>
    </xf>
    <xf numFmtId="0" fontId="4" fillId="12" borderId="1" xfId="0" applyFont="1" applyFill="1" applyBorder="1" applyAlignment="1">
      <alignment horizontal="center" vertical="center"/>
    </xf>
    <xf numFmtId="0" fontId="4" fillId="12" borderId="15" xfId="0" applyFont="1" applyFill="1" applyBorder="1" applyAlignment="1">
      <alignment horizontal="center" vertical="center"/>
    </xf>
    <xf numFmtId="0" fontId="4" fillId="0" borderId="0" xfId="0" applyFont="1" applyBorder="1" applyAlignment="1">
      <alignment horizontal="center" vertical="center"/>
    </xf>
    <xf numFmtId="0" fontId="4" fillId="11"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10" fillId="8" borderId="1" xfId="0" applyFont="1" applyFill="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horizontal="left" vertical="center"/>
    </xf>
    <xf numFmtId="0" fontId="4" fillId="6" borderId="1" xfId="0" applyFont="1" applyFill="1" applyBorder="1" applyAlignment="1">
      <alignment horizontal="center" vertical="center"/>
    </xf>
    <xf numFmtId="0" fontId="4" fillId="0" borderId="10" xfId="0" applyFont="1" applyBorder="1" applyAlignment="1">
      <alignment horizontal="center" vertical="center"/>
    </xf>
    <xf numFmtId="0" fontId="4" fillId="8" borderId="1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4" xfId="0" applyFont="1" applyFill="1" applyBorder="1" applyAlignment="1">
      <alignment horizontal="center" vertical="center"/>
    </xf>
    <xf numFmtId="0" fontId="17" fillId="0" borderId="0" xfId="0" applyFont="1" applyAlignment="1">
      <alignment horizontal="center" vertical="center"/>
    </xf>
    <xf numFmtId="38" fontId="0" fillId="0" borderId="48" xfId="1" applyFont="1" applyBorder="1" applyAlignment="1">
      <alignment horizontal="right" vertical="center"/>
    </xf>
    <xf numFmtId="38" fontId="0" fillId="0" borderId="55" xfId="1" applyFont="1" applyBorder="1" applyAlignment="1">
      <alignment horizontal="right" vertical="center"/>
    </xf>
    <xf numFmtId="38" fontId="0" fillId="0" borderId="48" xfId="1" applyFont="1" applyBorder="1" applyAlignment="1">
      <alignment horizontal="right" vertical="center" shrinkToFit="1"/>
    </xf>
    <xf numFmtId="38" fontId="0" fillId="5" borderId="125" xfId="1" applyFont="1" applyFill="1" applyBorder="1" applyAlignment="1">
      <alignment horizontal="right" vertical="center"/>
    </xf>
    <xf numFmtId="38" fontId="0" fillId="16" borderId="48" xfId="1" applyFont="1" applyFill="1" applyBorder="1" applyAlignment="1">
      <alignment horizontal="right" vertical="center"/>
    </xf>
    <xf numFmtId="0" fontId="0" fillId="0" borderId="0" xfId="0" applyBorder="1" applyAlignment="1">
      <alignment horizontal="center" vertical="center"/>
    </xf>
    <xf numFmtId="0" fontId="4" fillId="9" borderId="0"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left"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9" borderId="1" xfId="0" applyFont="1" applyFill="1" applyBorder="1" applyAlignment="1">
      <alignment horizontal="left" vertical="top"/>
    </xf>
    <xf numFmtId="0" fontId="10" fillId="0" borderId="18" xfId="0" applyFont="1" applyBorder="1" applyAlignment="1">
      <alignment horizontal="left" vertical="top"/>
    </xf>
    <xf numFmtId="0" fontId="4" fillId="6" borderId="138"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15" xfId="0" applyFont="1" applyFill="1" applyBorder="1" applyAlignment="1">
      <alignment horizontal="center" vertical="center"/>
    </xf>
    <xf numFmtId="0" fontId="4" fillId="0" borderId="0" xfId="0" applyFont="1" applyBorder="1" applyAlignment="1">
      <alignment horizontal="center" vertical="center"/>
    </xf>
    <xf numFmtId="0" fontId="4" fillId="11"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10" fillId="8" borderId="1" xfId="0" applyFont="1" applyFill="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horizontal="left" vertical="center"/>
    </xf>
    <xf numFmtId="0" fontId="4" fillId="6" borderId="1" xfId="0" applyFont="1" applyFill="1" applyBorder="1" applyAlignment="1">
      <alignment horizontal="center" vertical="center"/>
    </xf>
    <xf numFmtId="0" fontId="4" fillId="0" borderId="10" xfId="0" applyFont="1" applyBorder="1" applyAlignment="1">
      <alignment horizontal="center" vertical="center"/>
    </xf>
    <xf numFmtId="0" fontId="4" fillId="8" borderId="1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0" fontId="4" fillId="11" borderId="10"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0" fontId="4" fillId="9" borderId="10"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4" borderId="14" xfId="0" applyFont="1" applyFill="1" applyBorder="1" applyAlignment="1">
      <alignment horizontal="center" vertical="center"/>
    </xf>
    <xf numFmtId="38" fontId="0" fillId="0" borderId="48" xfId="1" applyFont="1" applyBorder="1" applyAlignment="1">
      <alignment horizontal="right" vertical="center"/>
    </xf>
    <xf numFmtId="38" fontId="0" fillId="0" borderId="55" xfId="1" applyFont="1" applyBorder="1" applyAlignment="1">
      <alignment horizontal="right" vertical="center"/>
    </xf>
    <xf numFmtId="38" fontId="0" fillId="0" borderId="48" xfId="1" applyFont="1" applyBorder="1" applyAlignment="1">
      <alignment horizontal="right" vertical="center" shrinkToFit="1"/>
    </xf>
    <xf numFmtId="38" fontId="0" fillId="5" borderId="125" xfId="1" applyFont="1" applyFill="1" applyBorder="1" applyAlignment="1">
      <alignment horizontal="right" vertical="center"/>
    </xf>
    <xf numFmtId="38" fontId="0" fillId="16" borderId="48" xfId="1" applyFont="1" applyFill="1" applyBorder="1" applyAlignment="1">
      <alignment horizontal="right" vertical="center"/>
    </xf>
    <xf numFmtId="0" fontId="0" fillId="0" borderId="0" xfId="0" applyBorder="1" applyAlignment="1">
      <alignment horizontal="center" vertical="center"/>
    </xf>
    <xf numFmtId="0" fontId="17" fillId="0" borderId="0" xfId="0" applyFont="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9" borderId="0" xfId="0" applyFont="1" applyFill="1" applyBorder="1" applyAlignment="1">
      <alignment horizontal="center" vertical="center"/>
    </xf>
    <xf numFmtId="0" fontId="10" fillId="0" borderId="1" xfId="0" applyFont="1" applyBorder="1" applyAlignment="1">
      <alignment horizontal="left" vertical="top"/>
    </xf>
    <xf numFmtId="0" fontId="4" fillId="0" borderId="24"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left" vertical="top"/>
    </xf>
    <xf numFmtId="0" fontId="10" fillId="0" borderId="14" xfId="0" applyFont="1" applyBorder="1" applyAlignment="1">
      <alignment horizontal="left" vertical="top"/>
    </xf>
    <xf numFmtId="0" fontId="10" fillId="0" borderId="10" xfId="0" applyFont="1" applyBorder="1" applyAlignment="1">
      <alignment horizontal="left" vertical="top"/>
    </xf>
    <xf numFmtId="0" fontId="10" fillId="0" borderId="12" xfId="0" applyFont="1" applyBorder="1" applyAlignment="1">
      <alignment horizontal="left" vertical="top"/>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9" borderId="1" xfId="0" applyFont="1" applyFill="1" applyBorder="1" applyAlignment="1">
      <alignment horizontal="left" vertical="top"/>
    </xf>
    <xf numFmtId="0" fontId="10" fillId="0" borderId="18" xfId="0" applyFont="1" applyBorder="1" applyAlignment="1">
      <alignment horizontal="center" vertical="center"/>
    </xf>
    <xf numFmtId="0" fontId="10" fillId="0" borderId="1" xfId="0" applyFont="1" applyBorder="1" applyAlignment="1">
      <alignment horizontal="center" vertical="center" shrinkToFit="1"/>
    </xf>
    <xf numFmtId="0" fontId="4" fillId="6" borderId="138" xfId="0" applyFont="1" applyFill="1" applyBorder="1" applyAlignment="1">
      <alignment horizontal="center" vertical="center"/>
    </xf>
    <xf numFmtId="0" fontId="0" fillId="0" borderId="93" xfId="0" applyBorder="1">
      <alignment vertical="center"/>
    </xf>
    <xf numFmtId="0" fontId="0" fillId="0" borderId="96" xfId="0" applyBorder="1">
      <alignment vertical="center"/>
    </xf>
    <xf numFmtId="0" fontId="0" fillId="0" borderId="109" xfId="0" applyBorder="1">
      <alignment vertical="center"/>
    </xf>
    <xf numFmtId="0" fontId="17" fillId="0" borderId="90" xfId="0" applyFont="1" applyBorder="1">
      <alignment vertical="center"/>
    </xf>
    <xf numFmtId="0" fontId="17" fillId="0" borderId="0" xfId="0" applyFont="1" applyBorder="1">
      <alignment vertical="center"/>
    </xf>
    <xf numFmtId="0" fontId="0" fillId="0" borderId="102" xfId="0" applyBorder="1">
      <alignment vertical="center"/>
    </xf>
    <xf numFmtId="0" fontId="0" fillId="0" borderId="90" xfId="0" applyBorder="1">
      <alignment vertical="center"/>
    </xf>
    <xf numFmtId="0" fontId="0" fillId="0" borderId="83" xfId="0" applyBorder="1">
      <alignment vertical="center"/>
    </xf>
    <xf numFmtId="0" fontId="4" fillId="0" borderId="14" xfId="0" applyFont="1" applyFill="1" applyBorder="1">
      <alignment vertical="center"/>
    </xf>
    <xf numFmtId="0" fontId="4" fillId="0" borderId="8" xfId="0" applyFont="1" applyBorder="1">
      <alignment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187" fontId="0" fillId="4" borderId="21" xfId="0" applyNumberFormat="1" applyFill="1" applyBorder="1" applyAlignment="1">
      <alignment horizontal="left" vertical="center" shrinkToFit="1"/>
    </xf>
    <xf numFmtId="187" fontId="0" fillId="9" borderId="21" xfId="0" applyNumberFormat="1" applyFill="1" applyBorder="1" applyAlignment="1">
      <alignment horizontal="left" vertical="center" shrinkToFit="1"/>
    </xf>
    <xf numFmtId="0" fontId="0" fillId="0" borderId="21" xfId="0" applyFill="1" applyBorder="1" applyAlignment="1">
      <alignment vertical="center" shrinkToFit="1"/>
    </xf>
    <xf numFmtId="186" fontId="0" fillId="0" borderId="21" xfId="0" applyNumberFormat="1" applyFill="1" applyBorder="1" applyAlignment="1">
      <alignment horizontal="left" vertical="center" shrinkToFit="1"/>
    </xf>
    <xf numFmtId="186" fontId="0" fillId="0" borderId="21" xfId="0" applyNumberFormat="1" applyFill="1" applyBorder="1" applyAlignment="1">
      <alignment vertical="center" shrinkToFit="1"/>
    </xf>
    <xf numFmtId="0" fontId="0" fillId="0" borderId="21" xfId="0" applyBorder="1" applyAlignment="1">
      <alignment vertical="center" shrinkToFit="1"/>
    </xf>
    <xf numFmtId="0" fontId="0" fillId="0" borderId="29" xfId="0" applyBorder="1" applyAlignment="1">
      <alignment horizontal="center" vertical="center"/>
    </xf>
    <xf numFmtId="0" fontId="0" fillId="0" borderId="24" xfId="0" applyFill="1" applyBorder="1" applyAlignment="1">
      <alignment horizontal="center" vertical="center"/>
    </xf>
    <xf numFmtId="0" fontId="0" fillId="9" borderId="24" xfId="0" applyFill="1" applyBorder="1" applyAlignment="1">
      <alignment horizontal="center" vertical="center"/>
    </xf>
    <xf numFmtId="0" fontId="0" fillId="0" borderId="25" xfId="0" applyBorder="1">
      <alignment vertical="center"/>
    </xf>
    <xf numFmtId="0" fontId="0" fillId="0" borderId="24" xfId="0" applyBorder="1" applyAlignment="1">
      <alignment horizontal="center" vertical="center"/>
    </xf>
    <xf numFmtId="184" fontId="0" fillId="0" borderId="24" xfId="0" applyNumberFormat="1" applyBorder="1">
      <alignment vertical="center"/>
    </xf>
    <xf numFmtId="0" fontId="0" fillId="0" borderId="25" xfId="0" applyBorder="1" applyAlignment="1">
      <alignment vertical="center" shrinkToFit="1"/>
    </xf>
    <xf numFmtId="0" fontId="4" fillId="0" borderId="10" xfId="0" applyFont="1" applyBorder="1" applyAlignment="1">
      <alignment horizontal="center" vertical="center"/>
    </xf>
    <xf numFmtId="0" fontId="4" fillId="9" borderId="10" xfId="0" applyFont="1" applyFill="1" applyBorder="1" applyAlignment="1">
      <alignment horizontal="center" vertical="center"/>
    </xf>
    <xf numFmtId="0" fontId="4"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9" borderId="1" xfId="0" applyFont="1" applyFill="1" applyBorder="1" applyAlignment="1">
      <alignment horizontal="left" vertical="top"/>
    </xf>
    <xf numFmtId="0" fontId="10" fillId="0" borderId="18" xfId="0" applyFont="1" applyBorder="1" applyAlignment="1">
      <alignment horizontal="left" vertical="top"/>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0" borderId="24" xfId="0" applyBorder="1" applyAlignment="1">
      <alignment horizontal="center" vertical="center"/>
    </xf>
    <xf numFmtId="0" fontId="5" fillId="0" borderId="0" xfId="0" applyFont="1">
      <alignment vertical="center"/>
    </xf>
    <xf numFmtId="0" fontId="17" fillId="9" borderId="0" xfId="0" applyFont="1" applyFill="1" applyBorder="1" applyAlignment="1">
      <alignment vertical="center"/>
    </xf>
    <xf numFmtId="2" fontId="17" fillId="0" borderId="0" xfId="0" applyNumberFormat="1" applyFont="1" applyBorder="1">
      <alignment vertical="center"/>
    </xf>
    <xf numFmtId="0" fontId="17" fillId="0" borderId="0" xfId="0" applyFont="1" applyFill="1" applyBorder="1" applyAlignment="1">
      <alignment vertical="center" wrapText="1" shrinkToFit="1"/>
    </xf>
    <xf numFmtId="0" fontId="4" fillId="0" borderId="1" xfId="0" applyFont="1" applyFill="1" applyBorder="1" applyAlignment="1">
      <alignment horizontal="left" vertical="top" shrinkToFit="1"/>
    </xf>
    <xf numFmtId="0" fontId="4" fillId="0" borderId="1" xfId="0" applyFont="1" applyFill="1" applyBorder="1" applyAlignment="1">
      <alignment horizontal="left" vertical="top"/>
    </xf>
    <xf numFmtId="0" fontId="4" fillId="0" borderId="12" xfId="0" applyFont="1" applyFill="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applyAlignment="1">
      <alignment horizontal="left" vertical="top"/>
    </xf>
    <xf numFmtId="0" fontId="10" fillId="9" borderId="12" xfId="0" applyFont="1" applyFill="1" applyBorder="1">
      <alignment vertical="center"/>
    </xf>
    <xf numFmtId="2" fontId="10" fillId="9" borderId="86" xfId="0" applyNumberFormat="1" applyFont="1" applyFill="1" applyBorder="1">
      <alignment vertical="center"/>
    </xf>
    <xf numFmtId="0" fontId="10" fillId="9" borderId="9" xfId="8" applyFont="1" applyFill="1" applyBorder="1">
      <alignment vertical="center"/>
    </xf>
    <xf numFmtId="0" fontId="10" fillId="9" borderId="85" xfId="8" applyFont="1" applyFill="1" applyBorder="1">
      <alignment vertical="center"/>
    </xf>
    <xf numFmtId="2" fontId="10" fillId="9" borderId="9" xfId="0" applyNumberFormat="1" applyFont="1" applyFill="1" applyBorder="1">
      <alignment vertical="center"/>
    </xf>
    <xf numFmtId="0" fontId="4" fillId="0" borderId="10" xfId="0" applyFont="1" applyBorder="1" applyAlignment="1">
      <alignment horizontal="left" vertical="top"/>
    </xf>
    <xf numFmtId="0" fontId="4" fillId="0" borderId="12" xfId="0" applyFont="1" applyBorder="1" applyAlignment="1">
      <alignment horizontal="left" vertical="top"/>
    </xf>
    <xf numFmtId="0" fontId="35" fillId="0" borderId="0" xfId="0" applyFont="1">
      <alignment vertical="center"/>
    </xf>
    <xf numFmtId="0" fontId="36" fillId="0" borderId="0" xfId="0" applyFont="1">
      <alignment vertical="center"/>
    </xf>
    <xf numFmtId="0" fontId="36" fillId="0" borderId="0" xfId="0" applyFont="1" applyAlignment="1">
      <alignment vertical="center"/>
    </xf>
    <xf numFmtId="0" fontId="36" fillId="0" borderId="0" xfId="0" quotePrefix="1" applyFont="1" applyAlignment="1">
      <alignment vertical="center"/>
    </xf>
    <xf numFmtId="0" fontId="39" fillId="0" borderId="0" xfId="0" applyFont="1">
      <alignment vertical="center"/>
    </xf>
    <xf numFmtId="0" fontId="39" fillId="0" borderId="0" xfId="0" applyFont="1" applyAlignment="1">
      <alignment vertical="center"/>
    </xf>
    <xf numFmtId="0" fontId="17" fillId="0" borderId="0" xfId="0" applyFont="1" applyBorder="1" applyAlignment="1">
      <alignment horizontal="center" vertical="center"/>
    </xf>
    <xf numFmtId="0" fontId="27" fillId="0" borderId="0" xfId="0" applyFont="1" applyBorder="1" applyAlignment="1">
      <alignment horizontal="center" vertical="center"/>
    </xf>
    <xf numFmtId="0" fontId="31" fillId="0" borderId="0"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4" borderId="1" xfId="0" applyFont="1" applyFill="1" applyBorder="1" applyAlignment="1">
      <alignment horizontal="center" vertical="center"/>
    </xf>
    <xf numFmtId="0" fontId="17" fillId="0" borderId="0" xfId="0" applyFont="1" applyBorder="1" applyAlignment="1">
      <alignment horizontal="center" vertical="center" wrapText="1"/>
    </xf>
    <xf numFmtId="38" fontId="23" fillId="9" borderId="0" xfId="1" applyFont="1" applyFill="1" applyBorder="1" applyAlignment="1">
      <alignment horizontal="center" vertical="center"/>
    </xf>
    <xf numFmtId="0" fontId="4" fillId="19" borderId="93" xfId="0" applyFont="1" applyFill="1" applyBorder="1" applyAlignment="1">
      <alignment vertical="center"/>
    </xf>
    <xf numFmtId="0" fontId="4" fillId="19" borderId="90" xfId="0" applyFont="1" applyFill="1" applyBorder="1" applyAlignment="1">
      <alignment vertical="center"/>
    </xf>
    <xf numFmtId="0" fontId="4" fillId="19" borderId="41" xfId="0" applyFont="1" applyFill="1" applyBorder="1" applyAlignment="1">
      <alignment vertical="center"/>
    </xf>
    <xf numFmtId="0" fontId="4" fillId="0" borderId="1" xfId="0" applyFont="1" applyBorder="1" applyAlignment="1">
      <alignment horizontal="center" vertical="center"/>
    </xf>
    <xf numFmtId="0" fontId="27" fillId="0" borderId="0" xfId="0" applyFont="1" applyBorder="1" applyAlignment="1">
      <alignment horizontal="center" vertical="center"/>
    </xf>
    <xf numFmtId="0" fontId="31" fillId="0" borderId="0" xfId="0" applyFont="1" applyFill="1" applyBorder="1" applyAlignment="1">
      <alignment horizontal="lef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67" xfId="0" applyFont="1" applyBorder="1" applyAlignment="1">
      <alignment horizontal="center" vertical="center"/>
    </xf>
    <xf numFmtId="0" fontId="10" fillId="8" borderId="1" xfId="0" applyFont="1" applyFill="1" applyBorder="1" applyAlignment="1">
      <alignment horizontal="center" vertical="center"/>
    </xf>
    <xf numFmtId="0" fontId="20" fillId="0" borderId="1" xfId="0" applyFont="1" applyBorder="1" applyAlignment="1">
      <alignment horizontal="center" vertical="center" wrapText="1" shrinkToFit="1"/>
    </xf>
    <xf numFmtId="0" fontId="4" fillId="0" borderId="0" xfId="0" applyFont="1" applyFill="1" applyBorder="1" applyAlignment="1">
      <alignment horizontal="center" vertical="center"/>
    </xf>
    <xf numFmtId="0" fontId="43" fillId="21" borderId="0" xfId="0" applyFont="1" applyFill="1">
      <alignment vertical="center"/>
    </xf>
    <xf numFmtId="0" fontId="0" fillId="21" borderId="0" xfId="0" applyFill="1">
      <alignment vertical="center"/>
    </xf>
    <xf numFmtId="0" fontId="41" fillId="21" borderId="0" xfId="0" applyFont="1" applyFill="1">
      <alignment vertical="center"/>
    </xf>
    <xf numFmtId="0" fontId="0" fillId="9" borderId="93" xfId="0" applyFill="1" applyBorder="1">
      <alignment vertical="center"/>
    </xf>
    <xf numFmtId="0" fontId="44" fillId="9" borderId="96" xfId="0" applyFont="1" applyFill="1" applyBorder="1" applyAlignment="1">
      <alignment vertical="center"/>
    </xf>
    <xf numFmtId="0" fontId="41" fillId="9" borderId="109" xfId="0" applyFont="1" applyFill="1" applyBorder="1">
      <alignment vertical="center"/>
    </xf>
    <xf numFmtId="0" fontId="44" fillId="9" borderId="0" xfId="0" applyFont="1" applyFill="1" applyBorder="1" applyAlignment="1">
      <alignment vertical="center"/>
    </xf>
    <xf numFmtId="0" fontId="41" fillId="9" borderId="0" xfId="0" applyFont="1" applyFill="1" applyBorder="1">
      <alignment vertical="center"/>
    </xf>
    <xf numFmtId="0" fontId="41" fillId="9" borderId="102" xfId="0" applyFont="1" applyFill="1" applyBorder="1">
      <alignment vertical="center"/>
    </xf>
    <xf numFmtId="0" fontId="41" fillId="9" borderId="90" xfId="0" applyFont="1" applyFill="1" applyBorder="1">
      <alignment vertical="center"/>
    </xf>
    <xf numFmtId="0" fontId="44" fillId="9" borderId="0" xfId="0" applyFont="1" applyFill="1" applyBorder="1" applyAlignment="1">
      <alignment horizontal="center" vertical="center"/>
    </xf>
    <xf numFmtId="0" fontId="44" fillId="9" borderId="0" xfId="0" applyFont="1" applyFill="1" applyBorder="1" applyAlignment="1">
      <alignment horizontal="left" vertical="center"/>
    </xf>
    <xf numFmtId="0" fontId="31" fillId="9" borderId="0" xfId="0" applyFont="1" applyFill="1" applyBorder="1" applyAlignment="1">
      <alignment horizontal="center" vertical="center" wrapText="1"/>
    </xf>
    <xf numFmtId="0" fontId="43" fillId="9" borderId="0" xfId="0" applyFont="1" applyFill="1" applyBorder="1" applyAlignment="1">
      <alignment horizontal="center" vertical="center" wrapText="1"/>
    </xf>
    <xf numFmtId="0" fontId="41" fillId="9" borderId="113" xfId="0" applyFont="1" applyFill="1" applyBorder="1" applyAlignment="1">
      <alignment vertical="center"/>
    </xf>
    <xf numFmtId="0" fontId="41" fillId="9" borderId="102" xfId="0" applyFont="1" applyFill="1" applyBorder="1" applyAlignment="1">
      <alignment horizontal="center" vertical="center"/>
    </xf>
    <xf numFmtId="0" fontId="41" fillId="9" borderId="0" xfId="0" applyFont="1" applyFill="1" applyBorder="1" applyAlignment="1">
      <alignment horizontal="center" vertical="center" wrapText="1"/>
    </xf>
    <xf numFmtId="0" fontId="41" fillId="9" borderId="0" xfId="0" applyFont="1" applyFill="1" applyBorder="1" applyAlignment="1">
      <alignment horizontal="center" vertical="center"/>
    </xf>
    <xf numFmtId="180" fontId="41" fillId="9" borderId="0" xfId="1" applyNumberFormat="1" applyFont="1" applyFill="1" applyBorder="1" applyAlignment="1">
      <alignment horizontal="center" vertical="center"/>
    </xf>
    <xf numFmtId="40" fontId="41" fillId="9" borderId="0" xfId="0" applyNumberFormat="1" applyFont="1" applyFill="1" applyBorder="1" applyAlignment="1">
      <alignment horizontal="left" vertical="top" wrapText="1" shrinkToFit="1"/>
    </xf>
    <xf numFmtId="40" fontId="41" fillId="9" borderId="0" xfId="0" applyNumberFormat="1" applyFont="1" applyFill="1" applyBorder="1" applyAlignment="1">
      <alignment vertical="top" wrapText="1" shrinkToFit="1"/>
    </xf>
    <xf numFmtId="191" fontId="41" fillId="9" borderId="0" xfId="0" applyNumberFormat="1" applyFont="1" applyFill="1" applyBorder="1" applyAlignment="1">
      <alignment horizontal="center" vertical="center"/>
    </xf>
    <xf numFmtId="0" fontId="32" fillId="9" borderId="0" xfId="0" applyFont="1" applyFill="1" applyBorder="1" applyAlignment="1">
      <alignment vertical="center"/>
    </xf>
    <xf numFmtId="0" fontId="43" fillId="21" borderId="0" xfId="0" applyFont="1" applyFill="1" applyAlignment="1">
      <alignment horizontal="center" vertical="center"/>
    </xf>
    <xf numFmtId="0" fontId="41" fillId="9" borderId="0" xfId="0" applyFont="1" applyFill="1" applyBorder="1" applyAlignment="1">
      <alignment vertical="center"/>
    </xf>
    <xf numFmtId="0" fontId="41" fillId="0" borderId="0" xfId="0" applyFont="1" applyFill="1">
      <alignment vertical="center"/>
    </xf>
    <xf numFmtId="0" fontId="41" fillId="0" borderId="0" xfId="0" applyFont="1" applyFill="1" applyBorder="1" applyAlignment="1">
      <alignment vertical="center"/>
    </xf>
    <xf numFmtId="0" fontId="41" fillId="0" borderId="0" xfId="0" applyFont="1" applyFill="1" applyBorder="1">
      <alignment vertical="center"/>
    </xf>
    <xf numFmtId="0" fontId="17" fillId="9" borderId="0" xfId="0" applyFont="1" applyFill="1" applyBorder="1">
      <alignment vertical="center"/>
    </xf>
    <xf numFmtId="0" fontId="41" fillId="9" borderId="41" xfId="0" applyFont="1" applyFill="1" applyBorder="1">
      <alignment vertical="center"/>
    </xf>
    <xf numFmtId="0" fontId="41" fillId="9" borderId="82" xfId="0" applyFont="1" applyFill="1" applyBorder="1" applyAlignment="1">
      <alignment vertical="center"/>
    </xf>
    <xf numFmtId="0" fontId="41" fillId="9" borderId="82" xfId="0" applyFont="1" applyFill="1" applyBorder="1">
      <alignment vertical="center"/>
    </xf>
    <xf numFmtId="0" fontId="41" fillId="9" borderId="83" xfId="0" applyFont="1" applyFill="1" applyBorder="1">
      <alignment vertical="center"/>
    </xf>
    <xf numFmtId="0" fontId="41" fillId="21" borderId="0" xfId="0" applyFont="1" applyFill="1" applyAlignment="1">
      <alignment vertical="center"/>
    </xf>
    <xf numFmtId="0" fontId="41" fillId="9" borderId="96" xfId="0" applyFont="1" applyFill="1" applyBorder="1" applyAlignment="1">
      <alignment vertical="center"/>
    </xf>
    <xf numFmtId="0" fontId="41" fillId="9" borderId="96" xfId="0" applyFont="1" applyFill="1" applyBorder="1">
      <alignment vertical="center"/>
    </xf>
    <xf numFmtId="0" fontId="43" fillId="9" borderId="90" xfId="0" applyFont="1" applyFill="1" applyBorder="1" applyAlignment="1">
      <alignment horizontal="center" vertical="center"/>
    </xf>
    <xf numFmtId="0" fontId="32" fillId="9" borderId="0" xfId="0" applyFont="1" applyFill="1" applyBorder="1" applyAlignment="1">
      <alignment horizontal="left" vertical="center"/>
    </xf>
    <xf numFmtId="0" fontId="41" fillId="6" borderId="147" xfId="0" applyFont="1" applyFill="1" applyBorder="1" applyAlignment="1">
      <alignment vertical="center"/>
    </xf>
    <xf numFmtId="0" fontId="41" fillId="6" borderId="87" xfId="0" applyFont="1" applyFill="1" applyBorder="1" applyAlignment="1">
      <alignment vertical="center"/>
    </xf>
    <xf numFmtId="0" fontId="41" fillId="6" borderId="150" xfId="0" applyFont="1" applyFill="1" applyBorder="1" applyAlignment="1">
      <alignment vertical="center"/>
    </xf>
    <xf numFmtId="0" fontId="41" fillId="6" borderId="151" xfId="0" applyFont="1" applyFill="1" applyBorder="1" applyAlignment="1">
      <alignment vertical="center"/>
    </xf>
    <xf numFmtId="0" fontId="0" fillId="0" borderId="0" xfId="0" applyBorder="1" applyAlignment="1">
      <alignment vertical="center"/>
    </xf>
    <xf numFmtId="0" fontId="43" fillId="9" borderId="90" xfId="0" applyFont="1" applyFill="1" applyBorder="1">
      <alignment vertical="center"/>
    </xf>
    <xf numFmtId="0" fontId="43" fillId="9" borderId="41" xfId="0" applyFont="1" applyFill="1" applyBorder="1">
      <alignment vertical="center"/>
    </xf>
    <xf numFmtId="0" fontId="10" fillId="9" borderId="1" xfId="0" applyFont="1" applyFill="1" applyBorder="1" applyAlignment="1">
      <alignment horizontal="left" vertical="top"/>
    </xf>
    <xf numFmtId="0" fontId="0" fillId="8" borderId="18" xfId="0" applyFill="1" applyBorder="1" applyAlignment="1">
      <alignment horizontal="center" vertical="center"/>
    </xf>
    <xf numFmtId="0" fontId="0" fillId="13" borderId="19" xfId="0"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left"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left" vertical="center"/>
    </xf>
    <xf numFmtId="0" fontId="4" fillId="4" borderId="1" xfId="0" applyFont="1" applyFill="1" applyBorder="1" applyAlignment="1">
      <alignment horizontal="center" vertical="center"/>
    </xf>
    <xf numFmtId="180" fontId="15" fillId="0" borderId="1" xfId="16" applyNumberFormat="1" applyFont="1" applyFill="1" applyBorder="1">
      <alignment vertical="center"/>
    </xf>
    <xf numFmtId="0" fontId="15" fillId="0" borderId="13" xfId="17" applyFont="1" applyFill="1" applyBorder="1" applyAlignment="1">
      <alignment horizontal="left" vertical="center"/>
    </xf>
    <xf numFmtId="0" fontId="10" fillId="0" borderId="1" xfId="17" applyFont="1" applyFill="1" applyBorder="1" applyAlignment="1">
      <alignment horizontal="left" vertical="center"/>
    </xf>
    <xf numFmtId="0" fontId="10" fillId="0" borderId="13" xfId="17" applyFont="1" applyFill="1" applyBorder="1" applyAlignment="1">
      <alignment horizontal="left" vertical="center"/>
    </xf>
    <xf numFmtId="0" fontId="10" fillId="0" borderId="67" xfId="17" applyFont="1" applyFill="1" applyBorder="1" applyAlignment="1">
      <alignment horizontal="left" vertical="center"/>
    </xf>
    <xf numFmtId="0" fontId="10" fillId="0" borderId="1" xfId="0" applyFont="1" applyFill="1" applyBorder="1" applyAlignment="1">
      <alignment horizontal="left" vertical="center"/>
    </xf>
    <xf numFmtId="0" fontId="10" fillId="0" borderId="13" xfId="16" applyFont="1" applyFill="1" applyBorder="1" applyAlignment="1">
      <alignment horizontal="left" vertical="center"/>
    </xf>
    <xf numFmtId="0" fontId="15" fillId="0" borderId="1" xfId="16" applyFont="1" applyFill="1" applyBorder="1">
      <alignment vertical="center"/>
    </xf>
    <xf numFmtId="0" fontId="10" fillId="0" borderId="1" xfId="0" applyFont="1" applyFill="1" applyBorder="1">
      <alignment vertical="center"/>
    </xf>
    <xf numFmtId="0" fontId="10" fillId="0" borderId="13" xfId="0" applyFont="1" applyFill="1" applyBorder="1">
      <alignment vertical="center"/>
    </xf>
    <xf numFmtId="0" fontId="10" fillId="0" borderId="13" xfId="16" applyFont="1" applyFill="1" applyBorder="1">
      <alignment vertical="center"/>
    </xf>
    <xf numFmtId="2" fontId="10" fillId="0" borderId="12" xfId="16" applyNumberFormat="1" applyFont="1" applyFill="1" applyBorder="1">
      <alignment vertical="center"/>
    </xf>
    <xf numFmtId="0" fontId="10" fillId="0" borderId="10" xfId="0" applyFont="1" applyFill="1" applyBorder="1" applyAlignment="1">
      <alignment horizontal="left" vertical="top"/>
    </xf>
    <xf numFmtId="0" fontId="10" fillId="0" borderId="5" xfId="0" applyFont="1" applyFill="1" applyBorder="1" applyAlignment="1">
      <alignment horizontal="left" vertical="top"/>
    </xf>
    <xf numFmtId="0" fontId="10" fillId="0" borderId="6" xfId="0" applyFont="1" applyFill="1" applyBorder="1" applyAlignment="1">
      <alignment horizontal="left" vertical="top"/>
    </xf>
    <xf numFmtId="0" fontId="10" fillId="0" borderId="10" xfId="0" applyFont="1" applyFill="1" applyBorder="1" applyAlignment="1">
      <alignment horizontal="center" vertical="center"/>
    </xf>
    <xf numFmtId="0" fontId="10" fillId="0" borderId="1" xfId="16" applyFont="1" applyFill="1" applyBorder="1" applyAlignment="1">
      <alignment horizontal="left" vertical="top"/>
    </xf>
    <xf numFmtId="0" fontId="10" fillId="0" borderId="2" xfId="0" applyFont="1" applyFill="1" applyBorder="1" applyAlignment="1">
      <alignment horizontal="left" vertical="top"/>
    </xf>
    <xf numFmtId="0" fontId="10" fillId="0" borderId="4" xfId="0" applyFont="1" applyFill="1" applyBorder="1" applyAlignment="1">
      <alignment horizontal="left" vertical="top"/>
    </xf>
    <xf numFmtId="0" fontId="10" fillId="0" borderId="15" xfId="0" applyFont="1" applyFill="1" applyBorder="1" applyAlignment="1">
      <alignment horizontal="center" vertical="center" shrinkToFit="1"/>
    </xf>
    <xf numFmtId="0" fontId="10" fillId="0" borderId="5" xfId="0" applyFont="1" applyFill="1" applyBorder="1" applyAlignment="1">
      <alignment horizontal="center" vertical="center"/>
    </xf>
    <xf numFmtId="0" fontId="10" fillId="0" borderId="18" xfId="0" applyFont="1" applyFill="1" applyBorder="1" applyAlignment="1">
      <alignment horizontal="center" vertical="center" shrinkToFit="1"/>
    </xf>
    <xf numFmtId="0" fontId="10" fillId="0" borderId="88" xfId="0" applyFont="1" applyFill="1" applyBorder="1" applyAlignment="1">
      <alignment horizontal="center" vertical="center"/>
    </xf>
    <xf numFmtId="0" fontId="10" fillId="0" borderId="10" xfId="16" applyFont="1" applyFill="1" applyBorder="1" applyAlignment="1">
      <alignment horizontal="center" vertical="center"/>
    </xf>
    <xf numFmtId="0" fontId="10" fillId="0" borderId="13" xfId="0" applyFont="1" applyFill="1" applyBorder="1" applyAlignment="1">
      <alignment horizontal="center" vertical="center" shrinkToFit="1"/>
    </xf>
    <xf numFmtId="0" fontId="10" fillId="0" borderId="2" xfId="0" applyFont="1" applyFill="1" applyBorder="1" applyAlignment="1">
      <alignment horizontal="center" vertical="center"/>
    </xf>
    <xf numFmtId="0" fontId="10" fillId="0" borderId="15" xfId="17" applyFont="1" applyFill="1" applyBorder="1" applyAlignment="1">
      <alignment horizontal="left" vertical="center"/>
    </xf>
    <xf numFmtId="0" fontId="10" fillId="0" borderId="15" xfId="0" applyFont="1" applyFill="1" applyBorder="1" applyAlignment="1">
      <alignment horizontal="center" vertical="center"/>
    </xf>
    <xf numFmtId="0" fontId="10" fillId="0" borderId="13" xfId="0" applyFont="1" applyFill="1" applyBorder="1" applyAlignment="1">
      <alignment horizontal="center" vertical="center"/>
    </xf>
    <xf numFmtId="0" fontId="15" fillId="4" borderId="14" xfId="16" applyFont="1" applyFill="1" applyBorder="1" applyAlignment="1">
      <alignment horizontal="center" vertical="center"/>
    </xf>
    <xf numFmtId="0" fontId="15" fillId="9" borderId="1" xfId="16" applyFont="1" applyFill="1" applyBorder="1">
      <alignment vertical="center"/>
    </xf>
    <xf numFmtId="180" fontId="10" fillId="9" borderId="1" xfId="0" applyNumberFormat="1" applyFont="1" applyFill="1" applyBorder="1">
      <alignment vertical="center"/>
    </xf>
    <xf numFmtId="38" fontId="10" fillId="9" borderId="1" xfId="1" applyFont="1" applyFill="1" applyBorder="1">
      <alignment vertical="center"/>
    </xf>
    <xf numFmtId="180" fontId="10" fillId="9" borderId="1" xfId="1" applyNumberFormat="1" applyFont="1" applyFill="1" applyBorder="1">
      <alignment vertical="center"/>
    </xf>
    <xf numFmtId="38" fontId="10" fillId="9" borderId="1" xfId="16" applyNumberFormat="1" applyFont="1" applyFill="1" applyBorder="1" applyAlignment="1">
      <alignment horizontal="right" vertical="center"/>
    </xf>
    <xf numFmtId="0" fontId="10" fillId="9" borderId="13" xfId="0" applyFont="1" applyFill="1" applyBorder="1">
      <alignment vertical="center"/>
    </xf>
    <xf numFmtId="180" fontId="10" fillId="9" borderId="13" xfId="0" applyNumberFormat="1" applyFont="1" applyFill="1" applyBorder="1">
      <alignment vertical="center"/>
    </xf>
    <xf numFmtId="38" fontId="10" fillId="9" borderId="13" xfId="1" applyFont="1" applyFill="1" applyBorder="1">
      <alignment vertical="center"/>
    </xf>
    <xf numFmtId="180" fontId="10" fillId="9" borderId="1" xfId="16" applyNumberFormat="1" applyFont="1" applyFill="1" applyBorder="1">
      <alignment vertical="center"/>
    </xf>
    <xf numFmtId="0" fontId="10" fillId="9" borderId="13" xfId="16" applyFont="1" applyFill="1" applyBorder="1">
      <alignment vertical="center"/>
    </xf>
    <xf numFmtId="0" fontId="15" fillId="9" borderId="13" xfId="17" applyFont="1" applyFill="1" applyBorder="1" applyAlignment="1">
      <alignment horizontal="left" vertical="center"/>
    </xf>
    <xf numFmtId="0" fontId="10" fillId="9" borderId="13" xfId="17" applyFont="1" applyFill="1" applyBorder="1" applyAlignment="1">
      <alignment horizontal="left"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10" fillId="9" borderId="1" xfId="0" applyFont="1" applyFill="1" applyBorder="1" applyAlignment="1">
      <alignment horizontal="left" vertical="center"/>
    </xf>
    <xf numFmtId="0" fontId="4" fillId="0" borderId="13" xfId="0" applyFont="1" applyBorder="1" applyAlignment="1">
      <alignment vertical="center"/>
    </xf>
    <xf numFmtId="0" fontId="15" fillId="9" borderId="1" xfId="16" applyFont="1" applyFill="1" applyBorder="1" applyAlignment="1">
      <alignment vertical="center" wrapText="1"/>
    </xf>
    <xf numFmtId="2" fontId="4" fillId="0" borderId="0" xfId="0" applyNumberFormat="1" applyFont="1" applyFill="1">
      <alignment vertical="center"/>
    </xf>
    <xf numFmtId="0" fontId="10" fillId="9" borderId="13" xfId="0" applyFont="1" applyFill="1" applyBorder="1" applyAlignment="1">
      <alignment vertical="center"/>
    </xf>
    <xf numFmtId="0" fontId="10" fillId="9" borderId="14" xfId="0" applyFont="1" applyFill="1" applyBorder="1" applyAlignment="1">
      <alignment vertical="center"/>
    </xf>
    <xf numFmtId="0" fontId="10" fillId="0" borderId="13" xfId="0" applyFont="1" applyFill="1" applyBorder="1" applyAlignment="1">
      <alignment vertical="center"/>
    </xf>
    <xf numFmtId="0" fontId="10" fillId="0" borderId="14" xfId="0" applyFont="1" applyFill="1" applyBorder="1" applyAlignme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0" fillId="4" borderId="14" xfId="16" applyFont="1" applyFill="1" applyBorder="1" applyAlignment="1">
      <alignment horizontal="center" vertical="center"/>
    </xf>
    <xf numFmtId="9" fontId="10" fillId="0" borderId="1" xfId="0" applyNumberFormat="1" applyFont="1" applyBorder="1">
      <alignment vertical="center"/>
    </xf>
    <xf numFmtId="182" fontId="10" fillId="0" borderId="1" xfId="3" applyNumberFormat="1" applyFont="1" applyBorder="1">
      <alignment vertical="center"/>
    </xf>
    <xf numFmtId="0" fontId="10" fillId="4" borderId="1" xfId="0" applyFont="1" applyFill="1" applyBorder="1" applyAlignment="1">
      <alignment horizontal="center" vertical="center"/>
    </xf>
    <xf numFmtId="0" fontId="10" fillId="0" borderId="1" xfId="0" applyFont="1" applyBorder="1" applyAlignment="1">
      <alignment horizontal="left" vertical="center"/>
    </xf>
    <xf numFmtId="180" fontId="10" fillId="0" borderId="1" xfId="1" applyNumberFormat="1" applyFont="1" applyBorder="1">
      <alignment vertical="center"/>
    </xf>
    <xf numFmtId="180" fontId="10" fillId="0" borderId="1" xfId="0" applyNumberFormat="1" applyFont="1" applyBorder="1">
      <alignment vertical="center"/>
    </xf>
    <xf numFmtId="180" fontId="10" fillId="0" borderId="12" xfId="16" applyNumberFormat="1" applyFont="1" applyFill="1" applyBorder="1">
      <alignment vertical="center"/>
    </xf>
    <xf numFmtId="0" fontId="10" fillId="0" borderId="13" xfId="0" applyFont="1" applyBorder="1" applyAlignment="1">
      <alignment horizontal="left" vertical="center"/>
    </xf>
    <xf numFmtId="38" fontId="41" fillId="19" borderId="60" xfId="1" applyFont="1" applyFill="1" applyBorder="1" applyAlignment="1">
      <alignment horizontal="right" vertical="center"/>
    </xf>
    <xf numFmtId="38" fontId="41" fillId="19" borderId="106" xfId="1" applyFont="1" applyFill="1" applyBorder="1" applyAlignment="1">
      <alignment horizontal="right" vertical="center"/>
    </xf>
    <xf numFmtId="38" fontId="41" fillId="19" borderId="161" xfId="1" applyFont="1" applyFill="1" applyBorder="1" applyAlignment="1">
      <alignment horizontal="right" vertical="center"/>
    </xf>
    <xf numFmtId="38" fontId="41" fillId="19" borderId="124" xfId="1" applyFont="1" applyFill="1" applyBorder="1" applyAlignment="1">
      <alignment horizontal="right" vertical="center"/>
    </xf>
    <xf numFmtId="38" fontId="41" fillId="19" borderId="129" xfId="1" applyFont="1" applyFill="1" applyBorder="1" applyAlignment="1">
      <alignment horizontal="right" vertical="center"/>
    </xf>
    <xf numFmtId="38" fontId="41" fillId="19" borderId="122" xfId="1" applyFont="1" applyFill="1" applyBorder="1" applyAlignment="1">
      <alignment horizontal="right" vertical="center"/>
    </xf>
    <xf numFmtId="192" fontId="43" fillId="19" borderId="60" xfId="1" applyNumberFormat="1" applyFont="1" applyFill="1" applyBorder="1" applyAlignment="1">
      <alignment horizontal="center" vertical="center"/>
    </xf>
    <xf numFmtId="192" fontId="43" fillId="19" borderId="106" xfId="1" applyNumberFormat="1" applyFont="1" applyFill="1" applyBorder="1" applyAlignment="1">
      <alignment horizontal="center" vertical="center"/>
    </xf>
    <xf numFmtId="192" fontId="43" fillId="19" borderId="161" xfId="1" applyNumberFormat="1" applyFont="1" applyFill="1" applyBorder="1" applyAlignment="1">
      <alignment horizontal="center" vertical="center"/>
    </xf>
    <xf numFmtId="192" fontId="43" fillId="19" borderId="124" xfId="1" applyNumberFormat="1" applyFont="1" applyFill="1" applyBorder="1" applyAlignment="1">
      <alignment horizontal="center" vertical="center"/>
    </xf>
    <xf numFmtId="192" fontId="41" fillId="19" borderId="134" xfId="1" applyNumberFormat="1" applyFont="1" applyFill="1" applyBorder="1" applyAlignment="1">
      <alignment horizontal="center" vertical="center"/>
    </xf>
    <xf numFmtId="192" fontId="41" fillId="19" borderId="139" xfId="1" applyNumberFormat="1" applyFont="1" applyFill="1" applyBorder="1" applyAlignment="1">
      <alignment horizontal="center" vertical="center"/>
    </xf>
    <xf numFmtId="0" fontId="41" fillId="19" borderId="64" xfId="0" applyFont="1" applyFill="1" applyBorder="1" applyAlignment="1">
      <alignment horizontal="center" vertical="center"/>
    </xf>
    <xf numFmtId="0" fontId="41" fillId="19" borderId="63" xfId="0" applyFont="1" applyFill="1" applyBorder="1" applyAlignment="1">
      <alignment horizontal="center" vertical="center"/>
    </xf>
    <xf numFmtId="0" fontId="41" fillId="19" borderId="155" xfId="0" applyFont="1" applyFill="1" applyBorder="1" applyAlignment="1">
      <alignment horizontal="center" vertical="center"/>
    </xf>
    <xf numFmtId="0" fontId="41" fillId="19" borderId="121" xfId="0" applyFont="1" applyFill="1" applyBorder="1" applyAlignment="1">
      <alignment horizontal="center" vertical="center"/>
    </xf>
    <xf numFmtId="0" fontId="41" fillId="19" borderId="82" xfId="0" applyFont="1" applyFill="1" applyBorder="1" applyAlignment="1">
      <alignment horizontal="center" vertical="center"/>
    </xf>
    <xf numFmtId="0" fontId="41" fillId="19" borderId="85" xfId="0" applyFont="1" applyFill="1" applyBorder="1" applyAlignment="1">
      <alignment horizontal="center" vertical="center"/>
    </xf>
    <xf numFmtId="38" fontId="41" fillId="19" borderId="74" xfId="1" applyFont="1" applyFill="1" applyBorder="1" applyAlignment="1">
      <alignment horizontal="center" vertical="center"/>
    </xf>
    <xf numFmtId="38" fontId="41" fillId="19" borderId="162" xfId="1" applyFont="1" applyFill="1" applyBorder="1" applyAlignment="1">
      <alignment horizontal="center" vertical="center"/>
    </xf>
    <xf numFmtId="0" fontId="41" fillId="9" borderId="52" xfId="0" applyFont="1" applyFill="1" applyBorder="1" applyAlignment="1">
      <alignment horizontal="center" vertical="center"/>
    </xf>
    <xf numFmtId="0" fontId="41" fillId="9" borderId="60" xfId="0" applyFont="1" applyFill="1" applyBorder="1" applyAlignment="1">
      <alignment horizontal="center" vertical="center"/>
    </xf>
    <xf numFmtId="0" fontId="41" fillId="9" borderId="126" xfId="0" applyFont="1" applyFill="1" applyBorder="1" applyAlignment="1">
      <alignment horizontal="center" vertical="center"/>
    </xf>
    <xf numFmtId="0" fontId="41" fillId="9" borderId="161" xfId="0" applyFont="1" applyFill="1" applyBorder="1" applyAlignment="1">
      <alignment horizontal="center" vertical="center"/>
    </xf>
    <xf numFmtId="0" fontId="41" fillId="24" borderId="64" xfId="0" applyFont="1" applyFill="1" applyBorder="1" applyAlignment="1">
      <alignment horizontal="center" vertical="center"/>
    </xf>
    <xf numFmtId="0" fontId="41" fillId="24" borderId="63" xfId="0" applyFont="1" applyFill="1" applyBorder="1" applyAlignment="1">
      <alignment horizontal="center" vertical="center"/>
    </xf>
    <xf numFmtId="0" fontId="41" fillId="24" borderId="155" xfId="0" applyFont="1" applyFill="1" applyBorder="1" applyAlignment="1">
      <alignment horizontal="center" vertical="center"/>
    </xf>
    <xf numFmtId="0" fontId="41" fillId="24" borderId="154" xfId="0" applyFont="1" applyFill="1" applyBorder="1" applyAlignment="1">
      <alignment horizontal="center" vertical="center"/>
    </xf>
    <xf numFmtId="0" fontId="41" fillId="24" borderId="148" xfId="0" applyFont="1" applyFill="1" applyBorder="1" applyAlignment="1">
      <alignment horizontal="center" vertical="center"/>
    </xf>
    <xf numFmtId="0" fontId="41" fillId="24" borderId="149" xfId="0" applyFont="1" applyFill="1" applyBorder="1" applyAlignment="1">
      <alignment horizontal="center" vertical="center"/>
    </xf>
    <xf numFmtId="38" fontId="41" fillId="24" borderId="74" xfId="1" applyFont="1" applyFill="1" applyBorder="1" applyAlignment="1">
      <alignment horizontal="center" vertical="center"/>
    </xf>
    <xf numFmtId="38" fontId="41" fillId="24" borderId="60" xfId="1" applyFont="1" applyFill="1" applyBorder="1" applyAlignment="1">
      <alignment horizontal="right" vertical="center"/>
    </xf>
    <xf numFmtId="38" fontId="41" fillId="24" borderId="106" xfId="1" applyFont="1" applyFill="1" applyBorder="1" applyAlignment="1">
      <alignment horizontal="right" vertical="center"/>
    </xf>
    <xf numFmtId="38" fontId="41" fillId="24" borderId="129" xfId="1" applyFont="1" applyFill="1" applyBorder="1" applyAlignment="1">
      <alignment horizontal="right" vertical="center"/>
    </xf>
    <xf numFmtId="38" fontId="41" fillId="24" borderId="150" xfId="1" applyFont="1" applyFill="1" applyBorder="1" applyAlignment="1">
      <alignment horizontal="right" vertical="center"/>
    </xf>
    <xf numFmtId="192" fontId="43" fillId="24" borderId="60" xfId="1" applyNumberFormat="1" applyFont="1" applyFill="1" applyBorder="1" applyAlignment="1">
      <alignment horizontal="center" vertical="center"/>
    </xf>
    <xf numFmtId="192" fontId="43" fillId="24" borderId="106" xfId="1" applyNumberFormat="1" applyFont="1" applyFill="1" applyBorder="1" applyAlignment="1">
      <alignment horizontal="center" vertical="center"/>
    </xf>
    <xf numFmtId="192" fontId="41" fillId="24" borderId="134" xfId="1" applyNumberFormat="1" applyFont="1" applyFill="1" applyBorder="1" applyAlignment="1">
      <alignment horizontal="center" vertical="center"/>
    </xf>
    <xf numFmtId="38" fontId="41" fillId="0" borderId="52" xfId="1" applyFont="1" applyBorder="1" applyAlignment="1">
      <alignment horizontal="right" vertical="center"/>
    </xf>
    <xf numFmtId="38" fontId="41" fillId="0" borderId="60" xfId="1" applyFont="1" applyBorder="1" applyAlignment="1">
      <alignment horizontal="right" vertical="center" shrinkToFit="1"/>
    </xf>
    <xf numFmtId="38" fontId="41" fillId="0" borderId="106" xfId="1" applyFont="1" applyBorder="1" applyAlignment="1">
      <alignment horizontal="right" vertical="center" shrinkToFit="1"/>
    </xf>
    <xf numFmtId="192" fontId="51" fillId="0" borderId="60" xfId="1" applyNumberFormat="1" applyFont="1" applyBorder="1" applyAlignment="1">
      <alignment horizontal="center" vertical="center"/>
    </xf>
    <xf numFmtId="192" fontId="51" fillId="0" borderId="106" xfId="1" applyNumberFormat="1" applyFont="1" applyBorder="1" applyAlignment="1">
      <alignment horizontal="center" vertical="center"/>
    </xf>
    <xf numFmtId="38" fontId="41" fillId="0" borderId="134" xfId="1" applyFont="1" applyBorder="1" applyAlignment="1">
      <alignment horizontal="center" vertical="center"/>
    </xf>
    <xf numFmtId="38" fontId="41" fillId="0" borderId="60" xfId="1" applyFont="1" applyBorder="1" applyAlignment="1">
      <alignment horizontal="right" vertical="center"/>
    </xf>
    <xf numFmtId="38" fontId="41" fillId="0" borderId="106" xfId="1" applyFont="1" applyBorder="1" applyAlignment="1">
      <alignment horizontal="right" vertical="center"/>
    </xf>
    <xf numFmtId="0" fontId="43" fillId="9" borderId="90" xfId="0" applyFont="1" applyFill="1" applyBorder="1" applyAlignment="1">
      <alignment horizontal="center" vertical="center"/>
    </xf>
    <xf numFmtId="0" fontId="41" fillId="0" borderId="63" xfId="0" applyFont="1" applyBorder="1" applyAlignment="1">
      <alignment horizontal="center" vertical="center"/>
    </xf>
    <xf numFmtId="0" fontId="41" fillId="0" borderId="155" xfId="0" applyFont="1" applyBorder="1" applyAlignment="1">
      <alignment horizontal="center" vertical="center"/>
    </xf>
    <xf numFmtId="0" fontId="41" fillId="0" borderId="148" xfId="0" applyFont="1" applyBorder="1" applyAlignment="1">
      <alignment horizontal="center" vertical="center"/>
    </xf>
    <xf numFmtId="0" fontId="41" fillId="0" borderId="149" xfId="0" applyFont="1" applyBorder="1" applyAlignment="1">
      <alignment horizontal="center" vertical="center"/>
    </xf>
    <xf numFmtId="38" fontId="41" fillId="0" borderId="74" xfId="1" applyFont="1" applyBorder="1" applyAlignment="1">
      <alignment horizontal="center" vertical="center"/>
    </xf>
    <xf numFmtId="38" fontId="41" fillId="0" borderId="160" xfId="1" applyFont="1" applyBorder="1" applyAlignment="1">
      <alignment horizontal="center" vertical="center"/>
    </xf>
    <xf numFmtId="38" fontId="41" fillId="0" borderId="159" xfId="1" applyFont="1" applyBorder="1" applyAlignment="1">
      <alignment horizontal="center" vertical="center"/>
    </xf>
    <xf numFmtId="38" fontId="41" fillId="0" borderId="151" xfId="1" applyFont="1" applyBorder="1" applyAlignment="1">
      <alignment horizontal="center" vertical="center"/>
    </xf>
    <xf numFmtId="38" fontId="41" fillId="0" borderId="150" xfId="1" applyFont="1" applyBorder="1" applyAlignment="1">
      <alignment horizontal="right" vertical="center"/>
    </xf>
    <xf numFmtId="38" fontId="41" fillId="0" borderId="152" xfId="1" applyFont="1" applyBorder="1" applyAlignment="1">
      <alignment horizontal="right" vertical="center"/>
    </xf>
    <xf numFmtId="38" fontId="41" fillId="0" borderId="154" xfId="1" applyFont="1" applyBorder="1" applyAlignment="1">
      <alignment horizontal="right" vertical="center"/>
    </xf>
    <xf numFmtId="192" fontId="51" fillId="0" borderId="152" xfId="1" applyNumberFormat="1" applyFont="1" applyBorder="1" applyAlignment="1">
      <alignment horizontal="center" vertical="center"/>
    </xf>
    <xf numFmtId="192" fontId="51" fillId="0" borderId="154" xfId="1" applyNumberFormat="1" applyFont="1" applyBorder="1" applyAlignment="1">
      <alignment horizontal="center" vertical="center"/>
    </xf>
    <xf numFmtId="0" fontId="41" fillId="6" borderId="59" xfId="0" applyFont="1" applyFill="1" applyBorder="1" applyAlignment="1">
      <alignment horizontal="center" vertical="center"/>
    </xf>
    <xf numFmtId="0" fontId="41" fillId="6" borderId="120" xfId="0" applyFont="1" applyFill="1" applyBorder="1" applyAlignment="1">
      <alignment horizontal="center" vertical="center"/>
    </xf>
    <xf numFmtId="0" fontId="41" fillId="0" borderId="0" xfId="0" applyFont="1" applyBorder="1" applyAlignment="1">
      <alignment horizontal="center" vertical="center"/>
    </xf>
    <xf numFmtId="0" fontId="41" fillId="0" borderId="6" xfId="0" applyFont="1" applyBorder="1" applyAlignment="1">
      <alignment horizontal="center" vertical="center"/>
    </xf>
    <xf numFmtId="0" fontId="41" fillId="6" borderId="147" xfId="0" applyFont="1" applyFill="1" applyBorder="1" applyAlignment="1">
      <alignment horizontal="center" vertical="center"/>
    </xf>
    <xf numFmtId="0" fontId="41" fillId="6" borderId="150" xfId="0" applyFont="1" applyFill="1" applyBorder="1" applyAlignment="1">
      <alignment horizontal="center" vertical="center"/>
    </xf>
    <xf numFmtId="0" fontId="41" fillId="6" borderId="157" xfId="0" applyFont="1" applyFill="1" applyBorder="1" applyAlignment="1">
      <alignment horizontal="center" vertical="center"/>
    </xf>
    <xf numFmtId="0" fontId="41" fillId="6" borderId="158" xfId="0" applyFont="1" applyFill="1" applyBorder="1" applyAlignment="1">
      <alignment horizontal="center" vertical="center"/>
    </xf>
    <xf numFmtId="0" fontId="41" fillId="6" borderId="152" xfId="0" applyFont="1" applyFill="1" applyBorder="1" applyAlignment="1">
      <alignment horizontal="center" vertical="center"/>
    </xf>
    <xf numFmtId="0" fontId="41" fillId="6" borderId="154"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3" xfId="0" applyFont="1" applyFill="1" applyBorder="1" applyAlignment="1">
      <alignment horizontal="center" vertical="center"/>
    </xf>
    <xf numFmtId="0" fontId="41" fillId="6" borderId="4" xfId="0" applyFont="1" applyFill="1" applyBorder="1" applyAlignment="1">
      <alignment horizontal="center" vertical="center"/>
    </xf>
    <xf numFmtId="0" fontId="41" fillId="6" borderId="5" xfId="0" applyFont="1" applyFill="1" applyBorder="1" applyAlignment="1">
      <alignment horizontal="center" vertical="center"/>
    </xf>
    <xf numFmtId="0" fontId="41" fillId="6" borderId="148" xfId="0" applyFont="1" applyFill="1" applyBorder="1" applyAlignment="1">
      <alignment horizontal="center" vertical="center"/>
    </xf>
    <xf numFmtId="0" fontId="41" fillId="6" borderId="149" xfId="0" applyFont="1" applyFill="1" applyBorder="1" applyAlignment="1">
      <alignment horizontal="center" vertical="center"/>
    </xf>
    <xf numFmtId="38" fontId="41" fillId="6" borderId="10" xfId="1" applyFont="1" applyFill="1" applyBorder="1" applyAlignment="1">
      <alignment horizontal="center" vertical="center"/>
    </xf>
    <xf numFmtId="38" fontId="41" fillId="6" borderId="43" xfId="1" applyFont="1" applyFill="1" applyBorder="1" applyAlignment="1">
      <alignment horizontal="center" vertical="center"/>
    </xf>
    <xf numFmtId="38" fontId="41" fillId="0" borderId="156" xfId="1" applyFont="1" applyBorder="1" applyAlignment="1">
      <alignment horizontal="center" vertical="center"/>
    </xf>
    <xf numFmtId="38" fontId="41" fillId="0" borderId="53" xfId="1" applyFont="1" applyBorder="1" applyAlignment="1">
      <alignment horizontal="right" vertical="center"/>
    </xf>
    <xf numFmtId="38" fontId="41" fillId="0" borderId="72" xfId="1" applyFont="1" applyBorder="1" applyAlignment="1">
      <alignment horizontal="right" vertical="center"/>
    </xf>
    <xf numFmtId="38" fontId="41" fillId="0" borderId="107" xfId="1" applyFont="1" applyBorder="1" applyAlignment="1">
      <alignment horizontal="right" vertical="center"/>
    </xf>
    <xf numFmtId="192" fontId="43" fillId="0" borderId="60" xfId="1" applyNumberFormat="1" applyFont="1" applyBorder="1" applyAlignment="1">
      <alignment horizontal="center" vertical="center"/>
    </xf>
    <xf numFmtId="192" fontId="43" fillId="0" borderId="106" xfId="1" applyNumberFormat="1" applyFont="1" applyBorder="1" applyAlignment="1">
      <alignment horizontal="center" vertical="center"/>
    </xf>
    <xf numFmtId="192" fontId="43" fillId="0" borderId="72" xfId="1" applyNumberFormat="1" applyFont="1" applyBorder="1" applyAlignment="1">
      <alignment horizontal="center" vertical="center"/>
    </xf>
    <xf numFmtId="192" fontId="43" fillId="0" borderId="107" xfId="1" applyNumberFormat="1" applyFont="1" applyBorder="1" applyAlignment="1">
      <alignment horizontal="center" vertical="center"/>
    </xf>
    <xf numFmtId="0" fontId="41" fillId="0" borderId="64" xfId="0" applyFont="1" applyBorder="1" applyAlignment="1">
      <alignment horizontal="center" vertical="center"/>
    </xf>
    <xf numFmtId="0" fontId="41" fillId="0" borderId="65"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38" fontId="41" fillId="0" borderId="71" xfId="1" applyFont="1" applyBorder="1" applyAlignment="1">
      <alignment horizontal="center" vertical="center"/>
    </xf>
    <xf numFmtId="0" fontId="41" fillId="0" borderId="150" xfId="0" applyFont="1" applyBorder="1" applyAlignment="1">
      <alignment horizontal="center" vertical="center"/>
    </xf>
    <xf numFmtId="0" fontId="41" fillId="0" borderId="152" xfId="0" applyFont="1" applyBorder="1" applyAlignment="1">
      <alignment horizontal="center" vertical="center"/>
    </xf>
    <xf numFmtId="0" fontId="41" fillId="0" borderId="52" xfId="0" applyFont="1" applyBorder="1" applyAlignment="1">
      <alignment horizontal="center" vertical="center"/>
    </xf>
    <xf numFmtId="0" fontId="41" fillId="0" borderId="60" xfId="0" applyFont="1" applyBorder="1" applyAlignment="1">
      <alignment horizontal="center" vertical="center"/>
    </xf>
    <xf numFmtId="0" fontId="41" fillId="0" borderId="53" xfId="0" applyFont="1" applyBorder="1" applyAlignment="1">
      <alignment horizontal="center" vertical="center"/>
    </xf>
    <xf numFmtId="0" fontId="41" fillId="0" borderId="72" xfId="0" applyFont="1" applyBorder="1" applyAlignment="1">
      <alignment horizontal="center" vertical="center"/>
    </xf>
    <xf numFmtId="0" fontId="41" fillId="0" borderId="66" xfId="0" applyFont="1" applyBorder="1" applyAlignment="1">
      <alignment horizontal="center" vertical="center"/>
    </xf>
    <xf numFmtId="0" fontId="41" fillId="0" borderId="154" xfId="0" applyFont="1" applyBorder="1" applyAlignment="1">
      <alignment horizontal="center" vertical="center"/>
    </xf>
    <xf numFmtId="38" fontId="41" fillId="0" borderId="64" xfId="1" applyFont="1" applyBorder="1" applyAlignment="1">
      <alignment horizontal="right" vertical="center"/>
    </xf>
    <xf numFmtId="38" fontId="41" fillId="0" borderId="63" xfId="1" applyFont="1" applyBorder="1" applyAlignment="1">
      <alignment horizontal="right" vertical="center"/>
    </xf>
    <xf numFmtId="38" fontId="41" fillId="0" borderId="148" xfId="1" applyFont="1" applyBorder="1" applyAlignment="1">
      <alignment horizontal="right" vertical="center"/>
    </xf>
    <xf numFmtId="0" fontId="41" fillId="6" borderId="137" xfId="0" applyFont="1" applyFill="1" applyBorder="1" applyAlignment="1">
      <alignment horizontal="center" vertical="center"/>
    </xf>
    <xf numFmtId="0" fontId="41" fillId="6" borderId="74" xfId="0" applyFont="1" applyFill="1" applyBorder="1" applyAlignment="1">
      <alignment horizontal="center" vertical="center"/>
    </xf>
    <xf numFmtId="0" fontId="41" fillId="6" borderId="138" xfId="0" applyFont="1" applyFill="1" applyBorder="1" applyAlignment="1">
      <alignment horizontal="center" vertical="center"/>
    </xf>
    <xf numFmtId="0" fontId="41" fillId="6" borderId="119" xfId="0" applyFont="1" applyFill="1" applyBorder="1" applyAlignment="1">
      <alignment horizontal="center" vertical="center"/>
    </xf>
    <xf numFmtId="0" fontId="41" fillId="6" borderId="60" xfId="0" applyFont="1" applyFill="1" applyBorder="1" applyAlignment="1">
      <alignment horizontal="center" vertical="center"/>
    </xf>
    <xf numFmtId="0" fontId="41" fillId="6" borderId="106" xfId="0" applyFont="1" applyFill="1" applyBorder="1" applyAlignment="1">
      <alignment horizontal="center" vertical="center"/>
    </xf>
    <xf numFmtId="0" fontId="41" fillId="6" borderId="75" xfId="0" applyFont="1" applyFill="1" applyBorder="1" applyAlignment="1">
      <alignment horizontal="center" vertical="center"/>
    </xf>
    <xf numFmtId="0" fontId="41" fillId="6" borderId="153" xfId="0" applyFont="1" applyFill="1" applyBorder="1" applyAlignment="1">
      <alignment horizontal="center" vertical="center"/>
    </xf>
    <xf numFmtId="38" fontId="41" fillId="0" borderId="65" xfId="1" applyFont="1" applyBorder="1" applyAlignment="1">
      <alignment horizontal="right" vertical="center"/>
    </xf>
    <xf numFmtId="38" fontId="41" fillId="0" borderId="8" xfId="1" applyFont="1" applyBorder="1" applyAlignment="1">
      <alignment horizontal="right" vertical="center"/>
    </xf>
    <xf numFmtId="0" fontId="32" fillId="9" borderId="0" xfId="0" applyFont="1" applyFill="1" applyBorder="1" applyAlignment="1">
      <alignment horizontal="left" vertical="center"/>
    </xf>
    <xf numFmtId="0" fontId="32" fillId="9" borderId="82" xfId="0" applyFont="1" applyFill="1" applyBorder="1" applyAlignment="1">
      <alignment horizontal="left" vertical="center"/>
    </xf>
    <xf numFmtId="0" fontId="50" fillId="8" borderId="93" xfId="0" applyFont="1" applyFill="1" applyBorder="1" applyAlignment="1">
      <alignment horizontal="left" vertical="center"/>
    </xf>
    <xf numFmtId="0" fontId="50" fillId="8" borderId="96" xfId="0" applyFont="1" applyFill="1" applyBorder="1" applyAlignment="1">
      <alignment horizontal="left" vertical="center"/>
    </xf>
    <xf numFmtId="0" fontId="50" fillId="8" borderId="109" xfId="0" applyFont="1" applyFill="1" applyBorder="1" applyAlignment="1">
      <alignment horizontal="left" vertical="center"/>
    </xf>
    <xf numFmtId="0" fontId="50" fillId="8" borderId="90" xfId="0" applyFont="1" applyFill="1" applyBorder="1" applyAlignment="1">
      <alignment horizontal="left" vertical="center"/>
    </xf>
    <xf numFmtId="0" fontId="50" fillId="8" borderId="0" xfId="0" applyFont="1" applyFill="1" applyBorder="1" applyAlignment="1">
      <alignment horizontal="left" vertical="center"/>
    </xf>
    <xf numFmtId="0" fontId="50" fillId="8" borderId="102" xfId="0" applyFont="1" applyFill="1" applyBorder="1" applyAlignment="1">
      <alignment horizontal="left" vertical="center"/>
    </xf>
    <xf numFmtId="0" fontId="50" fillId="23" borderId="93" xfId="0" applyFont="1" applyFill="1" applyBorder="1" applyAlignment="1">
      <alignment horizontal="left" vertical="center"/>
    </xf>
    <xf numFmtId="0" fontId="50" fillId="23" borderId="96" xfId="0" applyFont="1" applyFill="1" applyBorder="1" applyAlignment="1">
      <alignment horizontal="left" vertical="center"/>
    </xf>
    <xf numFmtId="0" fontId="50" fillId="23" borderId="109" xfId="0" applyFont="1" applyFill="1" applyBorder="1" applyAlignment="1">
      <alignment horizontal="left" vertical="center"/>
    </xf>
    <xf numFmtId="0" fontId="50" fillId="23" borderId="90" xfId="0" applyFont="1" applyFill="1" applyBorder="1" applyAlignment="1">
      <alignment horizontal="left" vertical="center"/>
    </xf>
    <xf numFmtId="0" fontId="50" fillId="23" borderId="0" xfId="0" applyFont="1" applyFill="1" applyBorder="1" applyAlignment="1">
      <alignment horizontal="left" vertical="center"/>
    </xf>
    <xf numFmtId="0" fontId="50" fillId="23" borderId="102" xfId="0" applyFont="1" applyFill="1" applyBorder="1" applyAlignment="1">
      <alignment horizontal="left" vertical="center"/>
    </xf>
    <xf numFmtId="0" fontId="41" fillId="8" borderId="20" xfId="0" applyFont="1" applyFill="1" applyBorder="1" applyAlignment="1">
      <alignment horizontal="center" vertical="center"/>
    </xf>
    <xf numFmtId="0" fontId="41" fillId="8" borderId="22" xfId="0" applyFont="1" applyFill="1" applyBorder="1" applyAlignment="1">
      <alignment horizontal="center" vertical="center"/>
    </xf>
    <xf numFmtId="0" fontId="41" fillId="8" borderId="23" xfId="0" applyFont="1" applyFill="1" applyBorder="1" applyAlignment="1">
      <alignment horizontal="center" vertical="center"/>
    </xf>
    <xf numFmtId="0" fontId="41" fillId="23" borderId="20" xfId="0" applyFont="1" applyFill="1" applyBorder="1" applyAlignment="1">
      <alignment horizontal="center" vertical="center"/>
    </xf>
    <xf numFmtId="0" fontId="41" fillId="23" borderId="22" xfId="0" applyFont="1" applyFill="1" applyBorder="1" applyAlignment="1">
      <alignment horizontal="center" vertical="center"/>
    </xf>
    <xf numFmtId="0" fontId="41" fillId="23" borderId="23" xfId="0" applyFont="1" applyFill="1" applyBorder="1" applyAlignment="1">
      <alignment horizontal="center" vertical="center"/>
    </xf>
    <xf numFmtId="0" fontId="32" fillId="0" borderId="0" xfId="0" applyFont="1" applyBorder="1" applyAlignment="1">
      <alignment horizontal="left" vertical="center"/>
    </xf>
    <xf numFmtId="0" fontId="32" fillId="0" borderId="82" xfId="0" applyFont="1" applyBorder="1" applyAlignment="1">
      <alignment horizontal="left" vertical="center"/>
    </xf>
    <xf numFmtId="0" fontId="32" fillId="13" borderId="93" xfId="0" applyFont="1" applyFill="1" applyBorder="1" applyAlignment="1">
      <alignment horizontal="left" vertical="center"/>
    </xf>
    <xf numFmtId="0" fontId="32" fillId="13" borderId="96" xfId="0" applyFont="1" applyFill="1" applyBorder="1" applyAlignment="1">
      <alignment horizontal="left" vertical="center"/>
    </xf>
    <xf numFmtId="0" fontId="32" fillId="13" borderId="146" xfId="0" applyFont="1" applyFill="1" applyBorder="1" applyAlignment="1">
      <alignment horizontal="left" vertical="center"/>
    </xf>
    <xf numFmtId="0" fontId="32" fillId="13" borderId="90" xfId="0" applyFont="1" applyFill="1" applyBorder="1" applyAlignment="1">
      <alignment horizontal="left" vertical="center"/>
    </xf>
    <xf numFmtId="0" fontId="32" fillId="13" borderId="0" xfId="0" applyFont="1" applyFill="1" applyBorder="1" applyAlignment="1">
      <alignment horizontal="left" vertical="center"/>
    </xf>
    <xf numFmtId="0" fontId="32" fillId="13" borderId="51" xfId="0" applyFont="1" applyFill="1" applyBorder="1" applyAlignment="1">
      <alignment horizontal="left" vertical="center"/>
    </xf>
    <xf numFmtId="0" fontId="32" fillId="13" borderId="41" xfId="0" applyFont="1" applyFill="1" applyBorder="1" applyAlignment="1">
      <alignment horizontal="left" vertical="center"/>
    </xf>
    <xf numFmtId="0" fontId="32" fillId="13" borderId="82" xfId="0" applyFont="1" applyFill="1" applyBorder="1" applyAlignment="1">
      <alignment horizontal="left" vertical="center"/>
    </xf>
    <xf numFmtId="0" fontId="32" fillId="13" borderId="122" xfId="0" applyFont="1" applyFill="1" applyBorder="1" applyAlignment="1">
      <alignment horizontal="left" vertical="center"/>
    </xf>
    <xf numFmtId="0" fontId="31" fillId="9" borderId="96" xfId="0" applyFont="1" applyFill="1" applyBorder="1" applyAlignment="1">
      <alignment horizontal="left" vertical="center" wrapText="1"/>
    </xf>
    <xf numFmtId="0" fontId="31" fillId="9" borderId="109" xfId="0" applyFont="1" applyFill="1" applyBorder="1" applyAlignment="1">
      <alignment horizontal="left" vertical="center" wrapText="1"/>
    </xf>
    <xf numFmtId="0" fontId="31" fillId="9" borderId="0" xfId="0" applyFont="1" applyFill="1" applyBorder="1" applyAlignment="1">
      <alignment horizontal="left" vertical="center" wrapText="1"/>
    </xf>
    <xf numFmtId="0" fontId="31" fillId="9" borderId="102" xfId="0" applyFont="1" applyFill="1" applyBorder="1" applyAlignment="1">
      <alignment horizontal="left" vertical="center" wrapText="1"/>
    </xf>
    <xf numFmtId="0" fontId="31" fillId="9" borderId="82" xfId="0" applyFont="1" applyFill="1" applyBorder="1" applyAlignment="1">
      <alignment horizontal="left" vertical="center" wrapText="1"/>
    </xf>
    <xf numFmtId="0" fontId="31" fillId="9" borderId="83" xfId="0" applyFont="1" applyFill="1" applyBorder="1" applyAlignment="1">
      <alignment horizontal="left" vertical="center" wrapText="1"/>
    </xf>
    <xf numFmtId="0" fontId="49" fillId="9" borderId="90" xfId="0" applyFont="1" applyFill="1" applyBorder="1" applyAlignment="1">
      <alignment horizontal="center" vertical="center"/>
    </xf>
    <xf numFmtId="0" fontId="49" fillId="9" borderId="0" xfId="0" applyFont="1" applyFill="1" applyBorder="1" applyAlignment="1">
      <alignment horizontal="center" vertical="center"/>
    </xf>
    <xf numFmtId="182" fontId="41" fillId="9" borderId="1" xfId="3" applyNumberFormat="1" applyFont="1" applyFill="1" applyBorder="1" applyAlignment="1" applyProtection="1">
      <alignment horizontal="center" vertical="center"/>
    </xf>
    <xf numFmtId="0" fontId="41" fillId="9" borderId="1" xfId="0" applyFont="1" applyFill="1" applyBorder="1" applyAlignment="1" applyProtection="1">
      <alignment horizontal="center" vertical="center"/>
    </xf>
    <xf numFmtId="0" fontId="41" fillId="9" borderId="21" xfId="0" applyFont="1" applyFill="1" applyBorder="1" applyAlignment="1" applyProtection="1">
      <alignment horizontal="center" vertical="center"/>
    </xf>
    <xf numFmtId="0" fontId="41" fillId="9" borderId="24" xfId="0" applyFont="1" applyFill="1" applyBorder="1" applyAlignment="1" applyProtection="1">
      <alignment horizontal="center" vertical="center"/>
    </xf>
    <xf numFmtId="0" fontId="41" fillId="9" borderId="25" xfId="0" applyFont="1" applyFill="1" applyBorder="1" applyAlignment="1" applyProtection="1">
      <alignment horizontal="center" vertical="center"/>
    </xf>
    <xf numFmtId="0" fontId="43" fillId="21" borderId="0" xfId="0" applyFont="1" applyFill="1" applyAlignment="1">
      <alignment horizontal="center" vertical="center"/>
    </xf>
    <xf numFmtId="0" fontId="41" fillId="0" borderId="22" xfId="0" applyFont="1" applyBorder="1" applyAlignment="1">
      <alignment horizontal="center" vertical="center"/>
    </xf>
    <xf numFmtId="0" fontId="41" fillId="0" borderId="1"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22" borderId="1" xfId="0" applyFont="1" applyFill="1" applyBorder="1" applyAlignment="1" applyProtection="1">
      <alignment horizontal="center" vertical="center"/>
      <protection locked="0"/>
    </xf>
    <xf numFmtId="0" fontId="41" fillId="22" borderId="24" xfId="0" applyFont="1" applyFill="1" applyBorder="1" applyAlignment="1" applyProtection="1">
      <alignment horizontal="center" vertical="center"/>
      <protection locked="0"/>
    </xf>
    <xf numFmtId="9" fontId="41" fillId="9" borderId="1" xfId="0" applyNumberFormat="1" applyFont="1" applyFill="1" applyBorder="1" applyAlignment="1" applyProtection="1">
      <alignment horizontal="center" vertical="center"/>
    </xf>
    <xf numFmtId="0" fontId="43" fillId="9" borderId="93" xfId="0" applyFont="1" applyFill="1" applyBorder="1" applyAlignment="1">
      <alignment horizontal="center" vertical="center"/>
    </xf>
    <xf numFmtId="0" fontId="47" fillId="9" borderId="96" xfId="0" applyFont="1" applyFill="1" applyBorder="1" applyAlignment="1">
      <alignment horizontal="left" vertical="center"/>
    </xf>
    <xf numFmtId="0" fontId="48" fillId="9" borderId="96" xfId="0" applyFont="1" applyFill="1" applyBorder="1" applyAlignment="1">
      <alignment horizontal="left" vertical="center"/>
    </xf>
    <xf numFmtId="0" fontId="48" fillId="9" borderId="0" xfId="0" applyFont="1" applyFill="1" applyBorder="1" applyAlignment="1">
      <alignment horizontal="left" vertical="center"/>
    </xf>
    <xf numFmtId="0" fontId="41" fillId="10" borderId="17" xfId="0" applyFont="1" applyFill="1" applyBorder="1" applyAlignment="1">
      <alignment horizontal="center" vertical="center"/>
    </xf>
    <xf numFmtId="0" fontId="41" fillId="10" borderId="18" xfId="0" applyFont="1" applyFill="1" applyBorder="1" applyAlignment="1">
      <alignment horizontal="center" vertical="center"/>
    </xf>
    <xf numFmtId="0" fontId="41" fillId="10" borderId="22" xfId="0" applyFont="1" applyFill="1" applyBorder="1" applyAlignment="1">
      <alignment horizontal="center" vertical="center"/>
    </xf>
    <xf numFmtId="0" fontId="41" fillId="10" borderId="1" xfId="0" applyFont="1" applyFill="1" applyBorder="1" applyAlignment="1">
      <alignment horizontal="center" vertical="center"/>
    </xf>
    <xf numFmtId="0" fontId="41" fillId="10" borderId="19" xfId="0" applyFont="1" applyFill="1" applyBorder="1" applyAlignment="1">
      <alignment horizontal="center" vertical="center"/>
    </xf>
    <xf numFmtId="0" fontId="41" fillId="10" borderId="21" xfId="0" applyFont="1" applyFill="1" applyBorder="1" applyAlignment="1">
      <alignment horizontal="center" vertical="center"/>
    </xf>
    <xf numFmtId="181" fontId="46" fillId="10" borderId="18" xfId="0" applyNumberFormat="1" applyFont="1" applyFill="1" applyBorder="1" applyAlignment="1">
      <alignment horizontal="center" vertical="center"/>
    </xf>
    <xf numFmtId="181" fontId="46" fillId="10" borderId="1" xfId="0" applyNumberFormat="1" applyFont="1" applyFill="1" applyBorder="1" applyAlignment="1">
      <alignment horizontal="center" vertical="center"/>
    </xf>
    <xf numFmtId="181" fontId="46" fillId="10" borderId="19" xfId="0" applyNumberFormat="1" applyFont="1" applyFill="1" applyBorder="1" applyAlignment="1">
      <alignment horizontal="center" vertical="center"/>
    </xf>
    <xf numFmtId="181" fontId="46" fillId="10" borderId="21" xfId="0" applyNumberFormat="1" applyFont="1" applyFill="1" applyBorder="1" applyAlignment="1">
      <alignment horizontal="center" vertical="center"/>
    </xf>
    <xf numFmtId="0" fontId="41" fillId="9" borderId="1" xfId="0" applyFont="1" applyFill="1" applyBorder="1" applyAlignment="1">
      <alignment horizontal="center" vertical="center"/>
    </xf>
    <xf numFmtId="0" fontId="41" fillId="9" borderId="21"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5" xfId="0" applyFont="1" applyFill="1" applyBorder="1" applyAlignment="1">
      <alignment horizontal="center" vertical="center"/>
    </xf>
    <xf numFmtId="9" fontId="41" fillId="9" borderId="24" xfId="0" applyNumberFormat="1" applyFont="1" applyFill="1" applyBorder="1" applyAlignment="1" applyProtection="1">
      <alignment horizontal="center" vertical="center"/>
    </xf>
    <xf numFmtId="182" fontId="41" fillId="9" borderId="24" xfId="3" applyNumberFormat="1" applyFont="1" applyFill="1" applyBorder="1" applyAlignment="1" applyProtection="1">
      <alignment horizontal="center" vertical="center"/>
    </xf>
    <xf numFmtId="0" fontId="41" fillId="14" borderId="1" xfId="0" applyFont="1" applyFill="1" applyBorder="1" applyAlignment="1" applyProtection="1">
      <alignment horizontal="center" vertical="center" shrinkToFit="1"/>
      <protection locked="0"/>
    </xf>
    <xf numFmtId="0" fontId="41" fillId="14" borderId="24" xfId="0" applyFont="1" applyFill="1" applyBorder="1" applyAlignment="1" applyProtection="1">
      <alignment horizontal="center" vertical="center" shrinkToFit="1"/>
      <protection locked="0"/>
    </xf>
    <xf numFmtId="40" fontId="41" fillId="9" borderId="1" xfId="0" applyNumberFormat="1" applyFont="1" applyFill="1" applyBorder="1" applyAlignment="1">
      <alignment horizontal="left" vertical="top" wrapText="1" shrinkToFit="1"/>
    </xf>
    <xf numFmtId="40" fontId="41" fillId="9" borderId="21" xfId="0" applyNumberFormat="1" applyFont="1" applyFill="1" applyBorder="1" applyAlignment="1">
      <alignment horizontal="left" vertical="top" wrapText="1" shrinkToFit="1"/>
    </xf>
    <xf numFmtId="40" fontId="41" fillId="9" borderId="24" xfId="0" applyNumberFormat="1" applyFont="1" applyFill="1" applyBorder="1" applyAlignment="1">
      <alignment horizontal="left" vertical="top" wrapText="1" shrinkToFit="1"/>
    </xf>
    <xf numFmtId="40" fontId="41" fillId="9" borderId="25" xfId="0" applyNumberFormat="1" applyFont="1" applyFill="1" applyBorder="1" applyAlignment="1">
      <alignment horizontal="left" vertical="top" wrapText="1" shrinkToFit="1"/>
    </xf>
    <xf numFmtId="0" fontId="41" fillId="10" borderId="22" xfId="0" applyFont="1" applyFill="1" applyBorder="1" applyAlignment="1">
      <alignment horizontal="center" vertical="center" wrapText="1"/>
    </xf>
    <xf numFmtId="0" fontId="41" fillId="10" borderId="23" xfId="0" applyFont="1" applyFill="1" applyBorder="1" applyAlignment="1">
      <alignment horizontal="center" vertical="center" wrapText="1"/>
    </xf>
    <xf numFmtId="180" fontId="41" fillId="14" borderId="1" xfId="1" applyNumberFormat="1" applyFont="1" applyFill="1" applyBorder="1" applyAlignment="1" applyProtection="1">
      <alignment horizontal="center" vertical="center"/>
      <protection locked="0"/>
    </xf>
    <xf numFmtId="180" fontId="41" fillId="14" borderId="24" xfId="1" applyNumberFormat="1" applyFont="1" applyFill="1" applyBorder="1" applyAlignment="1" applyProtection="1">
      <alignment horizontal="center" vertical="center"/>
      <protection locked="0"/>
    </xf>
    <xf numFmtId="0" fontId="41" fillId="14" borderId="1" xfId="0" applyFont="1" applyFill="1" applyBorder="1" applyAlignment="1" applyProtection="1">
      <alignment horizontal="center" vertical="center"/>
      <protection locked="0"/>
    </xf>
    <xf numFmtId="0" fontId="41" fillId="14" borderId="24" xfId="0" applyFont="1" applyFill="1" applyBorder="1" applyAlignment="1" applyProtection="1">
      <alignment horizontal="center" vertical="center"/>
      <protection locked="0"/>
    </xf>
    <xf numFmtId="0" fontId="41" fillId="15" borderId="18" xfId="0" applyFont="1" applyFill="1" applyBorder="1" applyAlignment="1">
      <alignment horizontal="center" vertical="center"/>
    </xf>
    <xf numFmtId="0" fontId="4" fillId="10" borderId="18" xfId="0" applyFont="1" applyFill="1" applyBorder="1" applyAlignment="1">
      <alignment horizontal="center" vertical="center"/>
    </xf>
    <xf numFmtId="0" fontId="4" fillId="10" borderId="19"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21" xfId="0" applyFont="1" applyFill="1" applyBorder="1" applyAlignment="1">
      <alignment horizontal="center" vertical="center"/>
    </xf>
    <xf numFmtId="0" fontId="41" fillId="9" borderId="1" xfId="0" applyFont="1" applyFill="1" applyBorder="1" applyAlignment="1">
      <alignment horizontal="left" vertical="top" wrapText="1"/>
    </xf>
    <xf numFmtId="0" fontId="41" fillId="9" borderId="21" xfId="0" applyFont="1" applyFill="1" applyBorder="1" applyAlignment="1">
      <alignment horizontal="left" vertical="top" wrapText="1"/>
    </xf>
    <xf numFmtId="0" fontId="41" fillId="9" borderId="24" xfId="0" applyFont="1" applyFill="1" applyBorder="1" applyAlignment="1">
      <alignment horizontal="left" vertical="top" wrapText="1"/>
    </xf>
    <xf numFmtId="0" fontId="41" fillId="9" borderId="25" xfId="0" applyFont="1" applyFill="1" applyBorder="1" applyAlignment="1">
      <alignment horizontal="left" vertical="top" wrapText="1"/>
    </xf>
    <xf numFmtId="0" fontId="41" fillId="14" borderId="2" xfId="0" applyFont="1" applyFill="1" applyBorder="1" applyAlignment="1" applyProtection="1">
      <alignment horizontal="center" vertical="center"/>
      <protection locked="0"/>
    </xf>
    <xf numFmtId="0" fontId="41" fillId="14" borderId="3" xfId="0" applyFont="1" applyFill="1" applyBorder="1" applyAlignment="1" applyProtection="1">
      <alignment horizontal="center" vertical="center"/>
      <protection locked="0"/>
    </xf>
    <xf numFmtId="0" fontId="41" fillId="14" borderId="4" xfId="0" applyFont="1" applyFill="1" applyBorder="1" applyAlignment="1" applyProtection="1">
      <alignment horizontal="center" vertical="center"/>
      <protection locked="0"/>
    </xf>
    <xf numFmtId="0" fontId="41" fillId="14" borderId="7" xfId="0" applyFont="1" applyFill="1" applyBorder="1" applyAlignment="1" applyProtection="1">
      <alignment horizontal="center" vertical="center"/>
      <protection locked="0"/>
    </xf>
    <xf numFmtId="0" fontId="41" fillId="14" borderId="8" xfId="0" applyFont="1" applyFill="1" applyBorder="1" applyAlignment="1" applyProtection="1">
      <alignment horizontal="center" vertical="center"/>
      <protection locked="0"/>
    </xf>
    <xf numFmtId="0" fontId="41" fillId="14" borderId="9" xfId="0" applyFont="1" applyFill="1" applyBorder="1" applyAlignment="1" applyProtection="1">
      <alignment horizontal="center" vertical="center"/>
      <protection locked="0"/>
    </xf>
    <xf numFmtId="0" fontId="41" fillId="10" borderId="23" xfId="0" applyFont="1" applyFill="1" applyBorder="1" applyAlignment="1">
      <alignment horizontal="center" vertical="center"/>
    </xf>
    <xf numFmtId="0" fontId="41" fillId="10" borderId="24" xfId="0" applyFont="1" applyFill="1" applyBorder="1" applyAlignment="1">
      <alignment horizontal="center" vertical="center"/>
    </xf>
    <xf numFmtId="196" fontId="41" fillId="9" borderId="1" xfId="0" applyNumberFormat="1" applyFont="1" applyFill="1" applyBorder="1" applyAlignment="1">
      <alignment horizontal="center" vertical="center" shrinkToFit="1"/>
    </xf>
    <xf numFmtId="0" fontId="41" fillId="10" borderId="20" xfId="0" applyFont="1" applyFill="1" applyBorder="1" applyAlignment="1">
      <alignment horizontal="center" vertical="center"/>
    </xf>
    <xf numFmtId="0" fontId="41" fillId="10" borderId="14" xfId="0" applyFont="1" applyFill="1" applyBorder="1" applyAlignment="1">
      <alignment horizontal="center" vertical="center"/>
    </xf>
    <xf numFmtId="0" fontId="44" fillId="9" borderId="96" xfId="0" applyFont="1" applyFill="1" applyBorder="1" applyAlignment="1">
      <alignment horizontal="center" vertical="center"/>
    </xf>
    <xf numFmtId="0" fontId="44" fillId="9" borderId="0" xfId="0" applyFont="1" applyFill="1" applyBorder="1" applyAlignment="1">
      <alignment horizontal="center" vertical="center"/>
    </xf>
    <xf numFmtId="0" fontId="31" fillId="14" borderId="93" xfId="0" applyFont="1" applyFill="1" applyBorder="1" applyAlignment="1">
      <alignment horizontal="center" vertical="center" wrapText="1"/>
    </xf>
    <xf numFmtId="0" fontId="31" fillId="14" borderId="96" xfId="0" applyFont="1" applyFill="1" applyBorder="1" applyAlignment="1">
      <alignment horizontal="center" vertical="center" wrapText="1"/>
    </xf>
    <xf numFmtId="0" fontId="31" fillId="14" borderId="109" xfId="0" applyFont="1" applyFill="1" applyBorder="1" applyAlignment="1">
      <alignment horizontal="center" vertical="center" wrapText="1"/>
    </xf>
    <xf numFmtId="0" fontId="31" fillId="14" borderId="90"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31" fillId="14" borderId="102"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82" xfId="0" applyFont="1" applyFill="1" applyBorder="1" applyAlignment="1">
      <alignment horizontal="center" vertical="center" wrapText="1"/>
    </xf>
    <xf numFmtId="0" fontId="31" fillId="14" borderId="83" xfId="0" applyFont="1" applyFill="1" applyBorder="1" applyAlignment="1">
      <alignment horizontal="center" vertical="center" wrapText="1"/>
    </xf>
    <xf numFmtId="0" fontId="43" fillId="22" borderId="93" xfId="0" applyFont="1" applyFill="1" applyBorder="1" applyAlignment="1">
      <alignment horizontal="center" vertical="center" wrapText="1"/>
    </xf>
    <xf numFmtId="0" fontId="43" fillId="22" borderId="96" xfId="0" applyFont="1" applyFill="1" applyBorder="1" applyAlignment="1">
      <alignment horizontal="center" vertical="center" wrapText="1"/>
    </xf>
    <xf numFmtId="0" fontId="43" fillId="22" borderId="109" xfId="0" applyFont="1" applyFill="1" applyBorder="1" applyAlignment="1">
      <alignment horizontal="center" vertical="center" wrapText="1"/>
    </xf>
    <xf numFmtId="0" fontId="43" fillId="22" borderId="90" xfId="0" applyFont="1" applyFill="1" applyBorder="1" applyAlignment="1">
      <alignment horizontal="center" vertical="center" wrapText="1"/>
    </xf>
    <xf numFmtId="0" fontId="43" fillId="22" borderId="0" xfId="0" applyFont="1" applyFill="1" applyBorder="1" applyAlignment="1">
      <alignment horizontal="center" vertical="center" wrapText="1"/>
    </xf>
    <xf numFmtId="0" fontId="43" fillId="22" borderId="102" xfId="0" applyFont="1" applyFill="1" applyBorder="1" applyAlignment="1">
      <alignment horizontal="center" vertical="center" wrapText="1"/>
    </xf>
    <xf numFmtId="0" fontId="43" fillId="22" borderId="41" xfId="0" applyFont="1" applyFill="1" applyBorder="1" applyAlignment="1">
      <alignment horizontal="center" vertical="center" wrapText="1"/>
    </xf>
    <xf numFmtId="0" fontId="43" fillId="22" borderId="82" xfId="0" applyFont="1" applyFill="1" applyBorder="1" applyAlignment="1">
      <alignment horizontal="center" vertical="center" wrapText="1"/>
    </xf>
    <xf numFmtId="0" fontId="43" fillId="22" borderId="83" xfId="0" applyFont="1" applyFill="1" applyBorder="1" applyAlignment="1">
      <alignment horizontal="center" vertical="center" wrapText="1"/>
    </xf>
    <xf numFmtId="0" fontId="41" fillId="19" borderId="18" xfId="0" applyFont="1" applyFill="1" applyBorder="1" applyAlignment="1">
      <alignment horizontal="center" vertical="center"/>
    </xf>
    <xf numFmtId="0" fontId="39" fillId="0" borderId="0" xfId="0" applyFont="1" applyAlignment="1">
      <alignment horizontal="left" vertical="center" wrapText="1"/>
    </xf>
    <xf numFmtId="0" fontId="37" fillId="0" borderId="0" xfId="0" applyFont="1" applyAlignment="1">
      <alignment horizontal="center" vertical="center" wrapText="1"/>
    </xf>
    <xf numFmtId="0" fontId="39" fillId="0" borderId="0" xfId="0" applyFont="1" applyAlignment="1">
      <alignment horizontal="left" vertical="top" wrapText="1"/>
    </xf>
    <xf numFmtId="0" fontId="17" fillId="14" borderId="10" xfId="0" applyFont="1" applyFill="1" applyBorder="1" applyAlignment="1">
      <alignment horizontal="center" vertical="center"/>
    </xf>
    <xf numFmtId="0" fontId="17" fillId="14" borderId="11" xfId="0" applyFont="1" applyFill="1" applyBorder="1" applyAlignment="1">
      <alignment horizontal="center" vertical="center"/>
    </xf>
    <xf numFmtId="0" fontId="17" fillId="14" borderId="12" xfId="0" applyFont="1" applyFill="1" applyBorder="1" applyAlignment="1">
      <alignment horizontal="center" vertical="center"/>
    </xf>
    <xf numFmtId="0" fontId="23" fillId="17" borderId="10" xfId="0" applyFont="1" applyFill="1" applyBorder="1" applyAlignment="1">
      <alignment horizontal="center" vertical="center"/>
    </xf>
    <xf numFmtId="0" fontId="23" fillId="17" borderId="11" xfId="0" applyFont="1" applyFill="1" applyBorder="1" applyAlignment="1">
      <alignment horizontal="center" vertical="center"/>
    </xf>
    <xf numFmtId="0" fontId="23" fillId="17" borderId="12" xfId="0" applyFont="1" applyFill="1" applyBorder="1" applyAlignment="1">
      <alignment horizontal="center" vertical="center"/>
    </xf>
    <xf numFmtId="0" fontId="17" fillId="0" borderId="82" xfId="0" applyFont="1" applyBorder="1" applyAlignment="1">
      <alignment horizontal="left" vertical="center"/>
    </xf>
    <xf numFmtId="0" fontId="17" fillId="10" borderId="33" xfId="0" applyFont="1" applyFill="1" applyBorder="1" applyAlignment="1">
      <alignment horizontal="center" vertical="center"/>
    </xf>
    <xf numFmtId="0" fontId="17" fillId="10" borderId="34" xfId="0" applyFont="1" applyFill="1" applyBorder="1" applyAlignment="1">
      <alignment horizontal="center" vertical="center"/>
    </xf>
    <xf numFmtId="0" fontId="17" fillId="10" borderId="35" xfId="0" applyFont="1" applyFill="1" applyBorder="1" applyAlignment="1">
      <alignment horizontal="center" vertical="center"/>
    </xf>
    <xf numFmtId="0" fontId="17" fillId="10" borderId="36" xfId="0" applyFont="1" applyFill="1" applyBorder="1" applyAlignment="1">
      <alignment horizontal="center" vertical="center"/>
    </xf>
    <xf numFmtId="0" fontId="17" fillId="10" borderId="99" xfId="0" applyFont="1" applyFill="1" applyBorder="1" applyAlignment="1">
      <alignment horizontal="center" vertical="center"/>
    </xf>
    <xf numFmtId="0" fontId="17" fillId="10" borderId="37" xfId="0" applyFont="1" applyFill="1" applyBorder="1" applyAlignment="1">
      <alignment horizontal="center" vertical="center"/>
    </xf>
    <xf numFmtId="0" fontId="17" fillId="0" borderId="90" xfId="0" applyFont="1" applyBorder="1" applyAlignment="1">
      <alignment horizontal="center" vertical="center" wrapText="1"/>
    </xf>
    <xf numFmtId="0" fontId="17" fillId="0" borderId="41" xfId="0" applyFont="1" applyBorder="1" applyAlignment="1">
      <alignment horizontal="center" vertical="center" wrapText="1"/>
    </xf>
    <xf numFmtId="0" fontId="17" fillId="9" borderId="14" xfId="0" applyFont="1" applyFill="1" applyBorder="1" applyAlignment="1">
      <alignment horizontal="left" vertical="center"/>
    </xf>
    <xf numFmtId="0" fontId="17" fillId="9" borderId="14" xfId="0" applyFont="1" applyFill="1" applyBorder="1" applyAlignment="1">
      <alignment horizontal="center" vertical="center"/>
    </xf>
    <xf numFmtId="0" fontId="17" fillId="14" borderId="7" xfId="0" applyFont="1" applyFill="1" applyBorder="1" applyAlignment="1">
      <alignment horizontal="center" vertical="center"/>
    </xf>
    <xf numFmtId="0" fontId="17" fillId="14" borderId="8" xfId="0" applyFont="1" applyFill="1" applyBorder="1" applyAlignment="1">
      <alignment horizontal="center" vertical="center"/>
    </xf>
    <xf numFmtId="0" fontId="17" fillId="14" borderId="9" xfId="0" applyFont="1" applyFill="1" applyBorder="1" applyAlignment="1">
      <alignment horizontal="center" vertical="center"/>
    </xf>
    <xf numFmtId="180" fontId="17" fillId="14" borderId="1" xfId="1" applyNumberFormat="1" applyFont="1" applyFill="1" applyBorder="1" applyAlignment="1">
      <alignment horizontal="center" vertical="center"/>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14" borderId="88" xfId="0" applyFont="1" applyFill="1" applyBorder="1" applyAlignment="1">
      <alignment horizontal="center" vertical="center" shrinkToFit="1"/>
    </xf>
    <xf numFmtId="0" fontId="17" fillId="14" borderId="94" xfId="0" applyFont="1" applyFill="1" applyBorder="1" applyAlignment="1">
      <alignment horizontal="center" vertical="center" shrinkToFit="1"/>
    </xf>
    <xf numFmtId="0" fontId="17" fillId="14" borderId="86" xfId="0" applyFont="1" applyFill="1" applyBorder="1" applyAlignment="1">
      <alignment horizontal="center" vertical="center" shrinkToFit="1"/>
    </xf>
    <xf numFmtId="40" fontId="17" fillId="9" borderId="95" xfId="0" applyNumberFormat="1" applyFont="1" applyFill="1" applyBorder="1" applyAlignment="1">
      <alignment horizontal="left" vertical="top" wrapText="1" shrinkToFit="1"/>
    </xf>
    <xf numFmtId="40" fontId="17" fillId="9" borderId="96" xfId="0" applyNumberFormat="1" applyFont="1" applyFill="1" applyBorder="1" applyAlignment="1">
      <alignment horizontal="left" vertical="top" wrapText="1" shrinkToFit="1"/>
    </xf>
    <xf numFmtId="40" fontId="17" fillId="9" borderId="109" xfId="0" applyNumberFormat="1" applyFont="1" applyFill="1" applyBorder="1" applyAlignment="1">
      <alignment horizontal="left" vertical="top" wrapText="1" shrinkToFit="1"/>
    </xf>
    <xf numFmtId="40" fontId="17" fillId="9" borderId="5" xfId="0" applyNumberFormat="1" applyFont="1" applyFill="1" applyBorder="1" applyAlignment="1">
      <alignment horizontal="left" vertical="top" wrapText="1" shrinkToFit="1"/>
    </xf>
    <xf numFmtId="40" fontId="17" fillId="9" borderId="0" xfId="0" applyNumberFormat="1" applyFont="1" applyFill="1" applyBorder="1" applyAlignment="1">
      <alignment horizontal="left" vertical="top" wrapText="1" shrinkToFit="1"/>
    </xf>
    <xf numFmtId="40" fontId="17" fillId="9" borderId="102" xfId="0" applyNumberFormat="1" applyFont="1" applyFill="1" applyBorder="1" applyAlignment="1">
      <alignment horizontal="left" vertical="top" wrapText="1" shrinkToFit="1"/>
    </xf>
    <xf numFmtId="40" fontId="17" fillId="9" borderId="42" xfId="0" applyNumberFormat="1" applyFont="1" applyFill="1" applyBorder="1" applyAlignment="1">
      <alignment horizontal="left" vertical="top" wrapText="1" shrinkToFit="1"/>
    </xf>
    <xf numFmtId="40" fontId="17" fillId="9" borderId="82" xfId="0" applyNumberFormat="1" applyFont="1" applyFill="1" applyBorder="1" applyAlignment="1">
      <alignment horizontal="left" vertical="top" wrapText="1" shrinkToFit="1"/>
    </xf>
    <xf numFmtId="40" fontId="17" fillId="9" borderId="83" xfId="0" applyNumberFormat="1" applyFont="1" applyFill="1" applyBorder="1" applyAlignment="1">
      <alignment horizontal="left" vertical="top" wrapText="1" shrinkToFit="1"/>
    </xf>
    <xf numFmtId="0" fontId="17" fillId="9" borderId="1" xfId="0" applyFont="1" applyFill="1" applyBorder="1" applyAlignment="1">
      <alignment horizontal="center" vertical="center"/>
    </xf>
    <xf numFmtId="0" fontId="17" fillId="14" borderId="14" xfId="0" applyFont="1" applyFill="1" applyBorder="1" applyAlignment="1">
      <alignment horizontal="center" vertical="center" shrinkToFit="1"/>
    </xf>
    <xf numFmtId="0" fontId="17" fillId="14" borderId="7" xfId="0" applyFont="1" applyFill="1" applyBorder="1" applyAlignment="1">
      <alignment horizontal="center" vertical="center" shrinkToFit="1"/>
    </xf>
    <xf numFmtId="0" fontId="17" fillId="14" borderId="8" xfId="0" applyFont="1" applyFill="1" applyBorder="1" applyAlignment="1">
      <alignment horizontal="center" vertical="center" shrinkToFit="1"/>
    </xf>
    <xf numFmtId="0" fontId="17" fillId="14" borderId="9" xfId="0" applyFont="1" applyFill="1" applyBorder="1" applyAlignment="1">
      <alignment horizontal="center" vertical="center" shrinkToFi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0" xfId="0" applyFont="1" applyBorder="1" applyAlignment="1">
      <alignment horizontal="center" vertical="center"/>
    </xf>
    <xf numFmtId="0" fontId="17" fillId="14"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24" xfId="0" applyFont="1" applyBorder="1" applyAlignment="1">
      <alignment horizontal="left" vertical="center"/>
    </xf>
    <xf numFmtId="0" fontId="17" fillId="0" borderId="24" xfId="0" applyFont="1" applyBorder="1" applyAlignment="1">
      <alignment horizontal="center" vertical="center"/>
    </xf>
    <xf numFmtId="2" fontId="17" fillId="14" borderId="24" xfId="1" applyNumberFormat="1" applyFont="1" applyFill="1" applyBorder="1" applyAlignment="1">
      <alignment horizontal="center" vertical="center"/>
    </xf>
    <xf numFmtId="177" fontId="17" fillId="14" borderId="26" xfId="0" applyNumberFormat="1" applyFont="1" applyFill="1" applyBorder="1" applyAlignment="1">
      <alignment horizontal="center" vertical="center"/>
    </xf>
    <xf numFmtId="0" fontId="17" fillId="14" borderId="40" xfId="0" applyFont="1" applyFill="1" applyBorder="1" applyAlignment="1">
      <alignment horizontal="center" vertical="center"/>
    </xf>
    <xf numFmtId="0" fontId="17" fillId="14" borderId="27" xfId="0" applyFont="1" applyFill="1" applyBorder="1" applyAlignment="1">
      <alignment horizontal="center" vertical="center"/>
    </xf>
    <xf numFmtId="0" fontId="17" fillId="14" borderId="26" xfId="0" applyFont="1" applyFill="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177" fontId="17" fillId="9" borderId="10" xfId="1" applyNumberFormat="1" applyFont="1" applyFill="1" applyBorder="1" applyAlignment="1">
      <alignment horizontal="center" vertical="center"/>
    </xf>
    <xf numFmtId="177" fontId="17" fillId="9" borderId="11" xfId="1" applyNumberFormat="1" applyFont="1" applyFill="1" applyBorder="1" applyAlignment="1">
      <alignment horizontal="center" vertical="center"/>
    </xf>
    <xf numFmtId="177" fontId="17" fillId="9" borderId="12" xfId="1" applyNumberFormat="1" applyFont="1" applyFill="1" applyBorder="1" applyAlignment="1">
      <alignment horizontal="center" vertical="center"/>
    </xf>
    <xf numFmtId="0" fontId="17" fillId="0" borderId="18" xfId="0" applyFont="1" applyBorder="1" applyAlignment="1">
      <alignment horizontal="left" vertical="center"/>
    </xf>
    <xf numFmtId="0" fontId="17" fillId="0" borderId="18" xfId="0" applyFont="1" applyBorder="1" applyAlignment="1">
      <alignment horizontal="center" vertical="center"/>
    </xf>
    <xf numFmtId="0" fontId="23" fillId="17" borderId="18" xfId="0" applyFont="1" applyFill="1" applyBorder="1" applyAlignment="1">
      <alignment horizontal="center" vertical="center"/>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2" xfId="0" applyFont="1" applyBorder="1" applyAlignment="1">
      <alignment horizontal="center" vertical="center" shrinkToFit="1"/>
    </xf>
    <xf numFmtId="177" fontId="17" fillId="14" borderId="1" xfId="0" applyNumberFormat="1" applyFont="1" applyFill="1" applyBorder="1" applyAlignment="1">
      <alignment horizontal="center" vertical="center"/>
    </xf>
    <xf numFmtId="177" fontId="17" fillId="14" borderId="10" xfId="0" applyNumberFormat="1" applyFont="1" applyFill="1" applyBorder="1" applyAlignment="1">
      <alignment horizontal="center" vertical="center"/>
    </xf>
    <xf numFmtId="0" fontId="17" fillId="0" borderId="26"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27" xfId="0" applyFont="1" applyFill="1" applyBorder="1" applyAlignment="1">
      <alignment horizontal="left" vertical="center"/>
    </xf>
    <xf numFmtId="0" fontId="17" fillId="9" borderId="24" xfId="0" applyFont="1" applyFill="1" applyBorder="1" applyAlignment="1">
      <alignment horizontal="center" vertical="center"/>
    </xf>
    <xf numFmtId="177" fontId="17" fillId="14" borderId="24" xfId="0" applyNumberFormat="1" applyFont="1" applyFill="1" applyBorder="1" applyAlignment="1">
      <alignment horizontal="center" vertical="center"/>
    </xf>
    <xf numFmtId="0" fontId="17" fillId="14" borderId="24" xfId="0" applyFont="1" applyFill="1" applyBorder="1" applyAlignment="1">
      <alignment horizontal="center" vertical="center"/>
    </xf>
    <xf numFmtId="0" fontId="17" fillId="0" borderId="95" xfId="0" applyFont="1" applyBorder="1" applyAlignment="1">
      <alignment horizontal="left" vertical="top" wrapText="1"/>
    </xf>
    <xf numFmtId="0" fontId="17" fillId="0" borderId="96" xfId="0" applyFont="1" applyBorder="1" applyAlignment="1">
      <alignment horizontal="left" vertical="top" wrapText="1"/>
    </xf>
    <xf numFmtId="0" fontId="17" fillId="0" borderId="109" xfId="0" applyFont="1" applyBorder="1" applyAlignment="1">
      <alignment horizontal="left" vertical="top" wrapText="1"/>
    </xf>
    <xf numFmtId="0" fontId="17" fillId="0" borderId="42" xfId="0" applyFont="1" applyBorder="1" applyAlignment="1">
      <alignment horizontal="left" vertical="top" wrapText="1"/>
    </xf>
    <xf numFmtId="0" fontId="17" fillId="0" borderId="82" xfId="0" applyFont="1" applyBorder="1" applyAlignment="1">
      <alignment horizontal="left" vertical="top" wrapText="1"/>
    </xf>
    <xf numFmtId="0" fontId="17" fillId="0" borderId="83" xfId="0" applyFont="1" applyBorder="1" applyAlignment="1">
      <alignment horizontal="left" vertical="top" wrapText="1"/>
    </xf>
    <xf numFmtId="0" fontId="23" fillId="17" borderId="24" xfId="0" applyFont="1" applyFill="1" applyBorder="1" applyAlignment="1">
      <alignment horizontal="center" vertical="center"/>
    </xf>
    <xf numFmtId="0" fontId="17" fillId="10" borderId="28" xfId="0" applyFont="1" applyFill="1" applyBorder="1" applyAlignment="1">
      <alignment horizontal="center" vertical="center"/>
    </xf>
    <xf numFmtId="0" fontId="17" fillId="10" borderId="95" xfId="0" applyFont="1" applyFill="1" applyBorder="1" applyAlignment="1">
      <alignment horizontal="center" vertical="center"/>
    </xf>
    <xf numFmtId="0" fontId="17" fillId="10" borderId="96" xfId="0" applyFont="1" applyFill="1" applyBorder="1" applyAlignment="1">
      <alignment horizontal="center" vertical="center"/>
    </xf>
    <xf numFmtId="0" fontId="17" fillId="10" borderId="84" xfId="0" applyFont="1" applyFill="1" applyBorder="1" applyAlignment="1">
      <alignment horizontal="center" vertical="center"/>
    </xf>
    <xf numFmtId="0" fontId="17" fillId="10" borderId="109" xfId="0" applyFont="1" applyFill="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14" borderId="18" xfId="0" applyFont="1" applyFill="1" applyBorder="1" applyAlignment="1">
      <alignment horizontal="center" vertical="center" shrinkToFit="1"/>
    </xf>
    <xf numFmtId="180" fontId="17" fillId="14" borderId="24" xfId="1" applyNumberFormat="1" applyFont="1" applyFill="1" applyBorder="1" applyAlignment="1">
      <alignment horizontal="center" vertical="center"/>
    </xf>
    <xf numFmtId="0" fontId="17" fillId="0" borderId="88" xfId="0" applyFont="1" applyBorder="1" applyAlignment="1">
      <alignment horizontal="center" vertical="center"/>
    </xf>
    <xf numFmtId="0" fontId="17" fillId="0" borderId="94" xfId="0" applyFont="1" applyBorder="1" applyAlignment="1">
      <alignment horizontal="center" vertical="center"/>
    </xf>
    <xf numFmtId="0" fontId="17" fillId="0" borderId="86" xfId="0" applyFont="1" applyBorder="1" applyAlignment="1">
      <alignment horizontal="center" vertical="center"/>
    </xf>
    <xf numFmtId="177" fontId="17" fillId="9" borderId="88" xfId="1" applyNumberFormat="1" applyFont="1" applyFill="1" applyBorder="1" applyAlignment="1">
      <alignment horizontal="center" vertical="center"/>
    </xf>
    <xf numFmtId="177" fontId="17" fillId="9" borderId="94" xfId="1" applyNumberFormat="1" applyFont="1" applyFill="1" applyBorder="1" applyAlignment="1">
      <alignment horizontal="center" vertical="center"/>
    </xf>
    <xf numFmtId="177" fontId="17" fillId="9" borderId="86" xfId="1" applyNumberFormat="1" applyFont="1" applyFill="1" applyBorder="1" applyAlignment="1">
      <alignment horizontal="center" vertical="center"/>
    </xf>
    <xf numFmtId="0" fontId="17" fillId="0" borderId="31" xfId="0" applyFont="1" applyBorder="1" applyAlignment="1">
      <alignment horizontal="center" vertical="center" wrapText="1"/>
    </xf>
    <xf numFmtId="0" fontId="17" fillId="9" borderId="18" xfId="0" applyFont="1" applyFill="1" applyBorder="1" applyAlignment="1">
      <alignment horizontal="center" vertical="center"/>
    </xf>
    <xf numFmtId="191" fontId="17" fillId="0" borderId="95" xfId="0" applyNumberFormat="1" applyFont="1" applyBorder="1" applyAlignment="1">
      <alignment horizontal="left" vertical="top" wrapText="1"/>
    </xf>
    <xf numFmtId="191" fontId="17" fillId="0" borderId="96" xfId="0" applyNumberFormat="1" applyFont="1" applyBorder="1" applyAlignment="1">
      <alignment horizontal="left" vertical="top" wrapText="1"/>
    </xf>
    <xf numFmtId="191" fontId="17" fillId="0" borderId="109" xfId="0" applyNumberFormat="1" applyFont="1" applyBorder="1" applyAlignment="1">
      <alignment horizontal="left" vertical="top" wrapText="1"/>
    </xf>
    <xf numFmtId="191" fontId="17" fillId="0" borderId="42" xfId="0" applyNumberFormat="1" applyFont="1" applyBorder="1" applyAlignment="1">
      <alignment horizontal="left" vertical="top" wrapText="1"/>
    </xf>
    <xf numFmtId="191" fontId="17" fillId="0" borderId="82" xfId="0" applyNumberFormat="1" applyFont="1" applyBorder="1" applyAlignment="1">
      <alignment horizontal="left" vertical="top" wrapText="1"/>
    </xf>
    <xf numFmtId="191" fontId="17" fillId="0" borderId="83" xfId="0" applyNumberFormat="1" applyFont="1" applyBorder="1" applyAlignment="1">
      <alignment horizontal="left" vertical="top" wrapText="1"/>
    </xf>
    <xf numFmtId="0" fontId="23" fillId="0" borderId="24" xfId="0" applyFont="1" applyFill="1" applyBorder="1" applyAlignment="1">
      <alignment horizontal="center" vertical="center"/>
    </xf>
    <xf numFmtId="0" fontId="17" fillId="0" borderId="26" xfId="0" applyFont="1" applyBorder="1" applyAlignment="1">
      <alignment horizontal="center" vertical="center"/>
    </xf>
    <xf numFmtId="0" fontId="17" fillId="0" borderId="40" xfId="0" applyFont="1" applyBorder="1" applyAlignment="1">
      <alignment horizontal="center" vertical="center"/>
    </xf>
    <xf numFmtId="0" fontId="17" fillId="0" borderId="27" xfId="0" applyFont="1" applyBorder="1" applyAlignment="1">
      <alignment horizontal="center" vertical="center"/>
    </xf>
    <xf numFmtId="0" fontId="23" fillId="0" borderId="18" xfId="0" applyFont="1" applyFill="1" applyBorder="1" applyAlignment="1">
      <alignment horizontal="center" vertical="center"/>
    </xf>
    <xf numFmtId="0" fontId="26" fillId="0" borderId="0" xfId="0" applyFont="1" applyBorder="1" applyAlignment="1">
      <alignment horizontal="center" vertical="center"/>
    </xf>
    <xf numFmtId="0" fontId="26" fillId="0" borderId="102" xfId="0" applyFont="1" applyBorder="1" applyAlignment="1">
      <alignment horizontal="center" vertical="center"/>
    </xf>
    <xf numFmtId="195" fontId="17" fillId="9" borderId="115" xfId="0" applyNumberFormat="1" applyFont="1" applyFill="1" applyBorder="1" applyAlignment="1">
      <alignment horizontal="center" vertical="center"/>
    </xf>
    <xf numFmtId="195" fontId="17" fillId="9" borderId="36" xfId="0" applyNumberFormat="1" applyFont="1" applyFill="1" applyBorder="1" applyAlignment="1">
      <alignment horizontal="center" vertical="center"/>
    </xf>
    <xf numFmtId="195" fontId="17" fillId="9" borderId="116" xfId="0" applyNumberFormat="1" applyFont="1" applyFill="1" applyBorder="1" applyAlignment="1">
      <alignment horizontal="center" vertical="center"/>
    </xf>
    <xf numFmtId="0" fontId="26" fillId="0" borderId="90" xfId="0" applyFont="1" applyBorder="1" applyAlignment="1">
      <alignment horizontal="center" vertical="center"/>
    </xf>
    <xf numFmtId="0" fontId="30" fillId="0" borderId="0" xfId="0" applyFont="1" applyAlignment="1">
      <alignment horizontal="left" vertical="center"/>
    </xf>
    <xf numFmtId="188" fontId="22" fillId="9" borderId="115" xfId="0" applyNumberFormat="1" applyFont="1" applyFill="1" applyBorder="1" applyAlignment="1">
      <alignment horizontal="center" vertical="center"/>
    </xf>
    <xf numFmtId="188" fontId="22" fillId="9" borderId="36" xfId="0" applyNumberFormat="1" applyFont="1" applyFill="1" applyBorder="1" applyAlignment="1">
      <alignment horizontal="center" vertical="center"/>
    </xf>
    <xf numFmtId="188" fontId="22" fillId="9" borderId="116" xfId="0" applyNumberFormat="1" applyFont="1" applyFill="1" applyBorder="1" applyAlignment="1">
      <alignment horizontal="center" vertical="center"/>
    </xf>
    <xf numFmtId="0" fontId="17" fillId="0" borderId="0" xfId="0" applyFont="1" applyBorder="1" applyAlignment="1">
      <alignment horizontal="left" vertical="center"/>
    </xf>
    <xf numFmtId="189" fontId="17" fillId="9" borderId="115" xfId="0" applyNumberFormat="1" applyFont="1" applyFill="1" applyBorder="1" applyAlignment="1">
      <alignment horizontal="center" vertical="center"/>
    </xf>
    <xf numFmtId="189" fontId="17" fillId="9" borderId="36" xfId="0" applyNumberFormat="1" applyFont="1" applyFill="1" applyBorder="1" applyAlignment="1">
      <alignment horizontal="center" vertical="center"/>
    </xf>
    <xf numFmtId="189" fontId="17" fillId="9" borderId="116" xfId="0" applyNumberFormat="1" applyFont="1" applyFill="1" applyBorder="1" applyAlignment="1">
      <alignment horizontal="center" vertical="center"/>
    </xf>
    <xf numFmtId="0" fontId="30" fillId="0" borderId="0" xfId="0" applyFont="1" applyAlignment="1">
      <alignment horizontal="left" vertical="center" wrapText="1"/>
    </xf>
    <xf numFmtId="0" fontId="17" fillId="10" borderId="17" xfId="0" applyFont="1" applyFill="1" applyBorder="1" applyAlignment="1">
      <alignment horizontal="center" vertical="center"/>
    </xf>
    <xf numFmtId="0" fontId="17" fillId="10" borderId="18" xfId="0" applyFont="1" applyFill="1" applyBorder="1" applyAlignment="1">
      <alignment horizontal="center" vertical="center"/>
    </xf>
    <xf numFmtId="0" fontId="17" fillId="10" borderId="22" xfId="0" applyFont="1" applyFill="1" applyBorder="1" applyAlignment="1">
      <alignment horizontal="center" vertical="center"/>
    </xf>
    <xf numFmtId="0" fontId="17" fillId="10" borderId="1" xfId="0" applyFont="1" applyFill="1" applyBorder="1" applyAlignment="1">
      <alignment horizontal="center" vertical="center"/>
    </xf>
    <xf numFmtId="0" fontId="17" fillId="0" borderId="9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10" borderId="88" xfId="0" applyFont="1" applyFill="1" applyBorder="1" applyAlignment="1">
      <alignment horizontal="center" vertical="center"/>
    </xf>
    <xf numFmtId="0" fontId="17" fillId="10" borderId="94" xfId="0" applyFont="1" applyFill="1" applyBorder="1" applyAlignment="1">
      <alignment horizontal="center" vertical="center"/>
    </xf>
    <xf numFmtId="0" fontId="17" fillId="10" borderId="86" xfId="0" applyFont="1" applyFill="1" applyBorder="1" applyAlignment="1">
      <alignment horizontal="center" vertical="center"/>
    </xf>
    <xf numFmtId="0" fontId="17" fillId="10" borderId="19" xfId="0" applyFont="1" applyFill="1" applyBorder="1" applyAlignment="1">
      <alignment horizontal="center" vertical="center"/>
    </xf>
    <xf numFmtId="0" fontId="17" fillId="0" borderId="22" xfId="0" applyFont="1" applyBorder="1" applyAlignment="1">
      <alignment horizontal="left" vertical="center"/>
    </xf>
    <xf numFmtId="0" fontId="23" fillId="14" borderId="1" xfId="8" applyFont="1" applyFill="1" applyBorder="1" applyAlignment="1">
      <alignment horizontal="center" vertical="center"/>
    </xf>
    <xf numFmtId="0" fontId="26" fillId="0" borderId="28" xfId="0" applyFont="1" applyBorder="1" applyAlignment="1">
      <alignment horizontal="center" vertical="center"/>
    </xf>
    <xf numFmtId="0" fontId="17" fillId="0" borderId="28" xfId="0" applyFont="1" applyBorder="1" applyAlignment="1">
      <alignment horizontal="center" vertical="center"/>
    </xf>
    <xf numFmtId="0" fontId="17" fillId="0" borderId="15" xfId="0" applyFont="1" applyBorder="1" applyAlignment="1">
      <alignment horizontal="center" vertical="center"/>
    </xf>
    <xf numFmtId="0" fontId="17" fillId="0" borderId="29" xfId="0" applyFont="1" applyBorder="1" applyAlignment="1">
      <alignment horizontal="center"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4" xfId="0" applyFont="1" applyFill="1" applyBorder="1" applyAlignment="1">
      <alignment horizontal="center" vertical="center"/>
    </xf>
    <xf numFmtId="177" fontId="23" fillId="9" borderId="24" xfId="8" applyNumberFormat="1" applyFont="1" applyFill="1" applyBorder="1" applyAlignment="1" applyProtection="1">
      <alignment horizontal="right" vertical="center"/>
    </xf>
    <xf numFmtId="190" fontId="23" fillId="9" borderId="24" xfId="8" applyNumberFormat="1" applyFont="1" applyFill="1" applyBorder="1" applyAlignment="1" applyProtection="1">
      <alignment horizontal="center" vertical="center"/>
    </xf>
    <xf numFmtId="0" fontId="17" fillId="0" borderId="1" xfId="0" applyFont="1" applyFill="1" applyBorder="1" applyAlignment="1">
      <alignment horizontal="center" vertical="center"/>
    </xf>
    <xf numFmtId="177" fontId="17" fillId="0" borderId="1"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Fill="1" applyBorder="1" applyAlignment="1">
      <alignment horizontal="left" vertical="center"/>
    </xf>
    <xf numFmtId="0" fontId="22" fillId="13" borderId="24" xfId="0" applyFont="1" applyFill="1" applyBorder="1" applyAlignment="1">
      <alignment horizontal="center" vertical="center"/>
    </xf>
    <xf numFmtId="0" fontId="17" fillId="0" borderId="25" xfId="0" applyFont="1" applyBorder="1" applyAlignment="1">
      <alignment horizontal="center" vertical="center"/>
    </xf>
    <xf numFmtId="38" fontId="23" fillId="14" borderId="1" xfId="8" applyNumberFormat="1" applyFont="1" applyFill="1" applyBorder="1" applyAlignment="1">
      <alignment horizontal="right" vertical="center"/>
    </xf>
    <xf numFmtId="38" fontId="23" fillId="14" borderId="1" xfId="8" applyNumberFormat="1" applyFont="1" applyFill="1" applyBorder="1" applyAlignment="1">
      <alignment horizontal="center" vertical="center"/>
    </xf>
    <xf numFmtId="0" fontId="22" fillId="13" borderId="1" xfId="0" applyFont="1" applyFill="1" applyBorder="1" applyAlignment="1">
      <alignment horizontal="center" vertical="center"/>
    </xf>
    <xf numFmtId="40" fontId="23" fillId="14" borderId="1" xfId="8" applyNumberFormat="1" applyFont="1" applyFill="1" applyBorder="1" applyAlignment="1">
      <alignment horizontal="right" vertical="center"/>
    </xf>
    <xf numFmtId="40" fontId="23" fillId="14" borderId="1" xfId="8" applyNumberFormat="1" applyFont="1" applyFill="1" applyBorder="1" applyAlignment="1">
      <alignment horizontal="center" vertical="center"/>
    </xf>
    <xf numFmtId="0" fontId="17" fillId="9" borderId="1" xfId="0" applyFont="1" applyFill="1" applyBorder="1" applyAlignment="1">
      <alignment horizontal="center" vertical="center" shrinkToFi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87"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Border="1" applyAlignment="1">
      <alignment horizontal="left" vertical="top" wrapText="1"/>
    </xf>
    <xf numFmtId="0" fontId="17" fillId="0" borderId="102" xfId="0" applyFont="1" applyBorder="1" applyAlignment="1">
      <alignment horizontal="left" vertical="top" wrapText="1"/>
    </xf>
    <xf numFmtId="2" fontId="17" fillId="0" borderId="1" xfId="0" applyNumberFormat="1" applyFont="1" applyBorder="1" applyAlignment="1">
      <alignment horizontal="center" vertical="center"/>
    </xf>
    <xf numFmtId="0" fontId="17" fillId="0" borderId="92" xfId="0" applyFont="1" applyBorder="1" applyAlignment="1">
      <alignment horizontal="center" vertical="center"/>
    </xf>
    <xf numFmtId="0" fontId="17" fillId="0" borderId="143"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7" xfId="0" applyFont="1" applyFill="1" applyBorder="1" applyAlignment="1">
      <alignment horizontal="center" vertical="center"/>
    </xf>
    <xf numFmtId="0" fontId="17" fillId="10" borderId="105" xfId="0" applyFont="1" applyFill="1" applyBorder="1" applyAlignment="1">
      <alignment horizontal="center" vertical="center"/>
    </xf>
    <xf numFmtId="181" fontId="23" fillId="10" borderId="18" xfId="0" applyNumberFormat="1" applyFont="1" applyFill="1" applyBorder="1" applyAlignment="1">
      <alignment horizontal="center" vertical="center"/>
    </xf>
    <xf numFmtId="182" fontId="17" fillId="14" borderId="1" xfId="3" applyNumberFormat="1" applyFont="1" applyFill="1" applyBorder="1" applyAlignment="1">
      <alignment horizontal="right" vertical="center"/>
    </xf>
    <xf numFmtId="0" fontId="17" fillId="14" borderId="1" xfId="0" applyFont="1" applyFill="1" applyBorder="1" applyAlignment="1">
      <alignment horizontal="right" vertical="center"/>
    </xf>
    <xf numFmtId="9" fontId="17" fillId="14" borderId="1" xfId="0" applyNumberFormat="1" applyFont="1" applyFill="1" applyBorder="1" applyAlignment="1">
      <alignment horizontal="right" vertical="center"/>
    </xf>
    <xf numFmtId="0" fontId="17" fillId="0" borderId="22" xfId="0" applyFont="1" applyBorder="1" applyAlignment="1">
      <alignment horizontal="center" vertical="center"/>
    </xf>
    <xf numFmtId="0" fontId="17" fillId="9" borderId="21" xfId="0" applyFont="1" applyFill="1" applyBorder="1" applyAlignment="1">
      <alignment horizontal="center" vertical="center"/>
    </xf>
    <xf numFmtId="0" fontId="17" fillId="0" borderId="23" xfId="0" applyFont="1" applyBorder="1" applyAlignment="1">
      <alignment horizontal="center" vertical="center"/>
    </xf>
    <xf numFmtId="0" fontId="17" fillId="14" borderId="24" xfId="0" applyFont="1" applyFill="1" applyBorder="1" applyAlignment="1">
      <alignment horizontal="right" vertical="center"/>
    </xf>
    <xf numFmtId="0" fontId="17" fillId="9" borderId="25" xfId="0" applyFont="1" applyFill="1" applyBorder="1" applyAlignment="1">
      <alignment horizontal="center" vertical="center"/>
    </xf>
    <xf numFmtId="0" fontId="17" fillId="0" borderId="143" xfId="0" applyFont="1" applyBorder="1" applyAlignment="1">
      <alignment horizontal="center" vertical="center"/>
    </xf>
    <xf numFmtId="9" fontId="17" fillId="14" borderId="24" xfId="0" applyNumberFormat="1" applyFont="1" applyFill="1" applyBorder="1" applyAlignment="1">
      <alignment horizontal="right" vertical="center"/>
    </xf>
    <xf numFmtId="182" fontId="17" fillId="14" borderId="24" xfId="3" applyNumberFormat="1" applyFont="1" applyFill="1" applyBorder="1" applyAlignment="1">
      <alignment horizontal="right" vertical="center"/>
    </xf>
    <xf numFmtId="0" fontId="17" fillId="9" borderId="1" xfId="0" applyFont="1" applyFill="1" applyBorder="1" applyAlignment="1">
      <alignment horizontal="left" vertical="center"/>
    </xf>
    <xf numFmtId="0" fontId="17" fillId="9" borderId="21" xfId="0" applyFont="1" applyFill="1" applyBorder="1" applyAlignment="1">
      <alignment horizontal="left" vertical="center"/>
    </xf>
    <xf numFmtId="0" fontId="17" fillId="9" borderId="24" xfId="0" applyFont="1" applyFill="1" applyBorder="1" applyAlignment="1">
      <alignment horizontal="left" vertical="center"/>
    </xf>
    <xf numFmtId="0" fontId="17" fillId="9" borderId="25" xfId="0" applyFont="1" applyFill="1" applyBorder="1" applyAlignment="1">
      <alignment horizontal="left" vertical="center"/>
    </xf>
    <xf numFmtId="0" fontId="17" fillId="6" borderId="17" xfId="0" applyFont="1" applyFill="1" applyBorder="1" applyAlignment="1">
      <alignment horizontal="center" vertical="center"/>
    </xf>
    <xf numFmtId="0" fontId="17" fillId="6" borderId="18" xfId="0" applyFont="1" applyFill="1" applyBorder="1" applyAlignment="1">
      <alignment horizontal="center" vertical="center"/>
    </xf>
    <xf numFmtId="0" fontId="17" fillId="6" borderId="18" xfId="0" applyFont="1" applyFill="1" applyBorder="1" applyAlignment="1">
      <alignment horizontal="left" vertical="center"/>
    </xf>
    <xf numFmtId="0" fontId="17" fillId="6" borderId="19" xfId="0" applyFont="1" applyFill="1" applyBorder="1" applyAlignment="1">
      <alignment horizontal="left" vertical="center"/>
    </xf>
    <xf numFmtId="0" fontId="17" fillId="10" borderId="117" xfId="0" applyFont="1" applyFill="1" applyBorder="1" applyAlignment="1">
      <alignment horizontal="center" vertical="center"/>
    </xf>
    <xf numFmtId="0" fontId="17" fillId="14" borderId="2" xfId="0" applyFont="1" applyFill="1" applyBorder="1" applyAlignment="1">
      <alignment horizontal="center" vertical="center"/>
    </xf>
    <xf numFmtId="0" fontId="17" fillId="14" borderId="3" xfId="0" applyFont="1" applyFill="1" applyBorder="1" applyAlignment="1">
      <alignment horizontal="center" vertical="center"/>
    </xf>
    <xf numFmtId="0" fontId="17" fillId="14" borderId="4" xfId="0" applyFont="1" applyFill="1" applyBorder="1" applyAlignment="1">
      <alignment horizontal="center" vertical="center"/>
    </xf>
    <xf numFmtId="0" fontId="17" fillId="14" borderId="42" xfId="0" applyFont="1" applyFill="1" applyBorder="1" applyAlignment="1">
      <alignment horizontal="center" vertical="center"/>
    </xf>
    <xf numFmtId="0" fontId="17" fillId="14" borderId="82" xfId="0" applyFont="1" applyFill="1" applyBorder="1" applyAlignment="1">
      <alignment horizontal="center" vertical="center"/>
    </xf>
    <xf numFmtId="0" fontId="17" fillId="14" borderId="85" xfId="0" applyFont="1" applyFill="1" applyBorder="1" applyAlignment="1">
      <alignment horizontal="center" vertical="center"/>
    </xf>
    <xf numFmtId="0" fontId="17" fillId="0" borderId="89"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85" xfId="0" applyFont="1" applyBorder="1" applyAlignment="1">
      <alignment horizontal="center" vertical="center" shrinkToFit="1"/>
    </xf>
    <xf numFmtId="0" fontId="0" fillId="8" borderId="93" xfId="0" applyFill="1" applyBorder="1" applyAlignment="1">
      <alignment horizontal="center" vertical="center"/>
    </xf>
    <xf numFmtId="0" fontId="0" fillId="8" borderId="96" xfId="0" applyFill="1" applyBorder="1" applyAlignment="1">
      <alignment horizontal="center" vertical="center"/>
    </xf>
    <xf numFmtId="0" fontId="0" fillId="8" borderId="109" xfId="0" applyFill="1" applyBorder="1" applyAlignment="1">
      <alignment horizontal="center" vertical="center"/>
    </xf>
    <xf numFmtId="0" fontId="0" fillId="10" borderId="105" xfId="0" applyFill="1" applyBorder="1" applyAlignment="1">
      <alignment horizontal="center" vertical="center"/>
    </xf>
    <xf numFmtId="0" fontId="0" fillId="10" borderId="86" xfId="0" applyFill="1" applyBorder="1" applyAlignment="1">
      <alignment horizontal="center" vertical="center"/>
    </xf>
    <xf numFmtId="0" fontId="0" fillId="8" borderId="31" xfId="0" applyFill="1" applyBorder="1" applyAlignment="1">
      <alignment horizontal="center" vertical="center"/>
    </xf>
    <xf numFmtId="0" fontId="0" fillId="8" borderId="39" xfId="0" applyFill="1" applyBorder="1" applyAlignment="1">
      <alignment horizontal="center" vertical="center"/>
    </xf>
    <xf numFmtId="0" fontId="0" fillId="0" borderId="10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38" fontId="0" fillId="0" borderId="106" xfId="1" applyFont="1" applyBorder="1" applyAlignment="1">
      <alignment horizontal="right" vertical="center"/>
    </xf>
    <xf numFmtId="38" fontId="0" fillId="0" borderId="48" xfId="1" applyFont="1" applyBorder="1" applyAlignment="1">
      <alignment horizontal="right" vertical="center"/>
    </xf>
    <xf numFmtId="0" fontId="0" fillId="6" borderId="119" xfId="0" applyFill="1" applyBorder="1" applyAlignment="1">
      <alignment horizontal="center" vertical="center"/>
    </xf>
    <xf numFmtId="0" fontId="0" fillId="6" borderId="56" xfId="0" applyFill="1" applyBorder="1" applyAlignment="1">
      <alignment horizontal="center" vertical="center"/>
    </xf>
    <xf numFmtId="0" fontId="0" fillId="9" borderId="66" xfId="0" applyFill="1" applyBorder="1" applyAlignment="1">
      <alignment horizontal="center" vertical="center"/>
    </xf>
    <xf numFmtId="0" fontId="0" fillId="9" borderId="0" xfId="0" applyFill="1" applyBorder="1" applyAlignment="1">
      <alignment horizontal="center" vertical="center"/>
    </xf>
    <xf numFmtId="0" fontId="0" fillId="9" borderId="51" xfId="0" applyFill="1" applyBorder="1" applyAlignment="1">
      <alignment horizontal="center" vertical="center"/>
    </xf>
    <xf numFmtId="0" fontId="0" fillId="9" borderId="121" xfId="0" applyFill="1" applyBorder="1" applyAlignment="1">
      <alignment horizontal="center" vertical="center"/>
    </xf>
    <xf numFmtId="0" fontId="0" fillId="9" borderId="82" xfId="0" applyFill="1" applyBorder="1" applyAlignment="1">
      <alignment horizontal="center" vertical="center"/>
    </xf>
    <xf numFmtId="0" fontId="0" fillId="9" borderId="122" xfId="0" applyFill="1" applyBorder="1" applyAlignment="1">
      <alignment horizontal="center" vertical="center"/>
    </xf>
    <xf numFmtId="38" fontId="0" fillId="16" borderId="106" xfId="1" applyFont="1" applyFill="1" applyBorder="1" applyAlignment="1">
      <alignment horizontal="right" vertical="center"/>
    </xf>
    <xf numFmtId="38" fontId="0" fillId="16" borderId="48" xfId="1" applyFont="1" applyFill="1" applyBorder="1" applyAlignment="1">
      <alignment horizontal="right" vertical="center"/>
    </xf>
    <xf numFmtId="38" fontId="23" fillId="9" borderId="1" xfId="1" applyFont="1" applyFill="1"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129" xfId="0" applyBorder="1" applyAlignment="1">
      <alignment horizontal="center" vertical="center"/>
    </xf>
    <xf numFmtId="0" fontId="0" fillId="0" borderId="65" xfId="0" applyBorder="1" applyAlignment="1">
      <alignment horizontal="center" vertical="center"/>
    </xf>
    <xf numFmtId="0" fontId="0" fillId="0" borderId="8" xfId="0" applyBorder="1" applyAlignment="1">
      <alignment horizontal="center" vertical="center"/>
    </xf>
    <xf numFmtId="0" fontId="0" fillId="0" borderId="118" xfId="0" applyBorder="1" applyAlignment="1">
      <alignment horizontal="center" vertical="center"/>
    </xf>
    <xf numFmtId="192" fontId="5" fillId="0" borderId="106" xfId="1" applyNumberFormat="1" applyFont="1" applyBorder="1" applyAlignment="1">
      <alignment horizontal="center" vertical="center"/>
    </xf>
    <xf numFmtId="192" fontId="5" fillId="0" borderId="48" xfId="1" applyNumberFormat="1" applyFont="1" applyBorder="1" applyAlignment="1">
      <alignment horizontal="center" vertical="center"/>
    </xf>
    <xf numFmtId="0" fontId="0" fillId="6" borderId="44" xfId="0" applyFill="1" applyBorder="1" applyAlignment="1">
      <alignment horizontal="center" vertical="center"/>
    </xf>
    <xf numFmtId="0" fontId="0" fillId="6" borderId="133" xfId="0" applyFill="1" applyBorder="1" applyAlignment="1">
      <alignment horizontal="center" vertical="center"/>
    </xf>
    <xf numFmtId="0" fontId="0" fillId="0" borderId="69" xfId="0" applyBorder="1" applyAlignment="1">
      <alignment horizontal="center" vertical="center"/>
    </xf>
    <xf numFmtId="0" fontId="0" fillId="0" borderId="20" xfId="0" applyBorder="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38" fontId="0" fillId="6" borderId="119" xfId="1" applyFont="1" applyFill="1" applyBorder="1" applyAlignment="1">
      <alignment horizontal="center" vertical="center"/>
    </xf>
    <xf numFmtId="38" fontId="0" fillId="6" borderId="56" xfId="1" applyFont="1" applyFill="1" applyBorder="1" applyAlignment="1">
      <alignment horizontal="center" vertical="center"/>
    </xf>
    <xf numFmtId="38" fontId="0" fillId="6" borderId="133" xfId="1" applyFont="1" applyFill="1" applyBorder="1" applyAlignment="1">
      <alignment horizontal="center" vertical="center"/>
    </xf>
    <xf numFmtId="0" fontId="0" fillId="0" borderId="92" xfId="0" applyBorder="1" applyAlignment="1">
      <alignment horizontal="center" vertical="center"/>
    </xf>
    <xf numFmtId="0" fontId="0" fillId="0" borderId="12" xfId="0" applyBorder="1" applyAlignment="1">
      <alignment horizontal="center" vertical="center"/>
    </xf>
    <xf numFmtId="0" fontId="0" fillId="6" borderId="2" xfId="0" applyFill="1" applyBorder="1" applyAlignment="1">
      <alignment horizontal="left" vertical="center"/>
    </xf>
    <xf numFmtId="0" fontId="0" fillId="6" borderId="3" xfId="0" applyFill="1" applyBorder="1" applyAlignment="1">
      <alignment horizontal="left" vertical="center"/>
    </xf>
    <xf numFmtId="0" fontId="0" fillId="6" borderId="4" xfId="0" applyFill="1" applyBorder="1" applyAlignment="1">
      <alignment horizontal="left" vertical="center"/>
    </xf>
    <xf numFmtId="192" fontId="24" fillId="0" borderId="48" xfId="1" applyNumberFormat="1" applyFont="1" applyBorder="1" applyAlignment="1">
      <alignment horizontal="center" vertical="center"/>
    </xf>
    <xf numFmtId="38" fontId="23" fillId="9" borderId="24" xfId="1" applyFont="1" applyFill="1" applyBorder="1" applyAlignment="1">
      <alignment horizontal="center" vertical="center"/>
    </xf>
    <xf numFmtId="0" fontId="17" fillId="9" borderId="21" xfId="0" applyFont="1" applyFill="1" applyBorder="1" applyAlignment="1">
      <alignment horizontal="center" vertical="center" shrinkToFit="1"/>
    </xf>
    <xf numFmtId="0" fontId="0" fillId="0" borderId="107" xfId="0" applyBorder="1" applyAlignment="1">
      <alignment horizontal="center" vertical="center"/>
    </xf>
    <xf numFmtId="0" fontId="0" fillId="0" borderId="54" xfId="0" applyBorder="1" applyAlignment="1">
      <alignment horizontal="center" vertical="center"/>
    </xf>
    <xf numFmtId="38" fontId="0" fillId="0" borderId="107" xfId="1" applyFont="1" applyBorder="1" applyAlignment="1">
      <alignment horizontal="right" vertical="center"/>
    </xf>
    <xf numFmtId="38" fontId="0" fillId="0" borderId="55" xfId="1" applyFont="1" applyBorder="1" applyAlignment="1">
      <alignment horizontal="right" vertical="center"/>
    </xf>
    <xf numFmtId="38" fontId="23" fillId="9" borderId="21" xfId="1" applyFont="1" applyFill="1" applyBorder="1" applyAlignment="1">
      <alignment horizontal="center" vertical="center"/>
    </xf>
    <xf numFmtId="38" fontId="23" fillId="9" borderId="25" xfId="1" applyFont="1" applyFill="1" applyBorder="1" applyAlignment="1">
      <alignment horizontal="center" vertical="center"/>
    </xf>
    <xf numFmtId="0" fontId="0" fillId="0" borderId="39" xfId="0" applyBorder="1" applyAlignment="1">
      <alignment horizontal="center" vertical="center"/>
    </xf>
    <xf numFmtId="38" fontId="0" fillId="0" borderId="106" xfId="1" applyFont="1" applyBorder="1" applyAlignment="1">
      <alignment horizontal="right" vertical="center" shrinkToFit="1"/>
    </xf>
    <xf numFmtId="38" fontId="0" fillId="0" borderId="48" xfId="1" applyFont="1" applyBorder="1" applyAlignment="1">
      <alignment horizontal="right" vertical="center" shrinkToFit="1"/>
    </xf>
    <xf numFmtId="38" fontId="0" fillId="5" borderId="124" xfId="1" applyFont="1" applyFill="1" applyBorder="1" applyAlignment="1">
      <alignment horizontal="right" vertical="center"/>
    </xf>
    <xf numFmtId="38" fontId="0" fillId="5" borderId="125" xfId="1" applyFont="1" applyFill="1" applyBorder="1" applyAlignment="1">
      <alignment horizontal="right" vertical="center"/>
    </xf>
    <xf numFmtId="192" fontId="5" fillId="5" borderId="124" xfId="1" applyNumberFormat="1" applyFont="1" applyFill="1" applyBorder="1" applyAlignment="1">
      <alignment horizontal="center" vertical="center"/>
    </xf>
    <xf numFmtId="192" fontId="5" fillId="5" borderId="125" xfId="1" applyNumberFormat="1" applyFont="1" applyFill="1" applyBorder="1" applyAlignment="1">
      <alignment horizontal="center" vertical="center"/>
    </xf>
    <xf numFmtId="192" fontId="5" fillId="16" borderId="106" xfId="1" applyNumberFormat="1" applyFont="1" applyFill="1" applyBorder="1" applyAlignment="1">
      <alignment horizontal="center" vertical="center"/>
    </xf>
    <xf numFmtId="192" fontId="5" fillId="16" borderId="48" xfId="1" applyNumberFormat="1" applyFont="1" applyFill="1" applyBorder="1" applyAlignment="1">
      <alignment horizontal="center" vertical="center"/>
    </xf>
    <xf numFmtId="38" fontId="23" fillId="9" borderId="10" xfId="1" applyFont="1" applyFill="1" applyBorder="1" applyAlignment="1">
      <alignment horizontal="center" vertical="center"/>
    </xf>
    <xf numFmtId="38" fontId="23" fillId="9" borderId="11" xfId="1" applyFont="1" applyFill="1" applyBorder="1" applyAlignment="1">
      <alignment horizontal="center" vertical="center"/>
    </xf>
    <xf numFmtId="38" fontId="23" fillId="9" borderId="12" xfId="1" applyFont="1" applyFill="1" applyBorder="1" applyAlignment="1">
      <alignment horizontal="center" vertical="center"/>
    </xf>
    <xf numFmtId="0" fontId="0" fillId="13" borderId="31" xfId="0" applyFill="1" applyBorder="1" applyAlignment="1">
      <alignment horizontal="center" vertical="center"/>
    </xf>
    <xf numFmtId="0" fontId="0" fillId="13" borderId="39" xfId="0" applyFill="1" applyBorder="1" applyAlignment="1">
      <alignment horizontal="center" vertical="center"/>
    </xf>
    <xf numFmtId="0" fontId="0" fillId="0" borderId="82" xfId="0" applyBorder="1" applyAlignment="1">
      <alignment horizontal="left" vertical="center"/>
    </xf>
    <xf numFmtId="0" fontId="0" fillId="13" borderId="93" xfId="0" applyFill="1" applyBorder="1" applyAlignment="1">
      <alignment horizontal="center" vertical="center"/>
    </xf>
    <xf numFmtId="0" fontId="0" fillId="13" borderId="96" xfId="0" applyFill="1" applyBorder="1" applyAlignment="1">
      <alignment horizontal="center" vertical="center"/>
    </xf>
    <xf numFmtId="0" fontId="0" fillId="13" borderId="109" xfId="0" applyFill="1" applyBorder="1" applyAlignment="1">
      <alignment horizontal="center" vertical="center"/>
    </xf>
    <xf numFmtId="0" fontId="4" fillId="19" borderId="94" xfId="0" applyFont="1" applyFill="1" applyBorder="1" applyAlignment="1">
      <alignment horizontal="center" vertical="center"/>
    </xf>
    <xf numFmtId="0" fontId="4" fillId="19" borderId="117" xfId="0" applyFont="1" applyFill="1" applyBorder="1" applyAlignment="1">
      <alignment horizontal="center" vertical="center"/>
    </xf>
    <xf numFmtId="38" fontId="41" fillId="0" borderId="43" xfId="1" applyFont="1" applyFill="1" applyBorder="1" applyAlignment="1">
      <alignment horizontal="center" vertical="center" wrapText="1"/>
    </xf>
    <xf numFmtId="38" fontId="41" fillId="0" borderId="56" xfId="1" applyFont="1" applyFill="1" applyBorder="1" applyAlignment="1">
      <alignment horizontal="center" vertical="center" wrapText="1"/>
    </xf>
    <xf numFmtId="38" fontId="41" fillId="0" borderId="133" xfId="1" applyFont="1" applyFill="1" applyBorder="1" applyAlignment="1">
      <alignment horizontal="center" vertical="center" wrapText="1"/>
    </xf>
    <xf numFmtId="38" fontId="41" fillId="0" borderId="42" xfId="1" applyFont="1" applyFill="1" applyBorder="1" applyAlignment="1">
      <alignment horizontal="center" vertical="center" wrapText="1"/>
    </xf>
    <xf numFmtId="38" fontId="41" fillId="0" borderId="82" xfId="1" applyFont="1" applyFill="1" applyBorder="1" applyAlignment="1">
      <alignment horizontal="center" vertical="center" wrapText="1"/>
    </xf>
    <xf numFmtId="38" fontId="41" fillId="0" borderId="83" xfId="1" applyFont="1" applyFill="1" applyBorder="1" applyAlignment="1">
      <alignment horizontal="center" vertical="center" wrapText="1"/>
    </xf>
    <xf numFmtId="38" fontId="23" fillId="9" borderId="26" xfId="1" applyFont="1" applyFill="1" applyBorder="1" applyAlignment="1">
      <alignment horizontal="center" vertical="center"/>
    </xf>
    <xf numFmtId="38" fontId="23" fillId="9" borderId="40" xfId="1" applyFont="1" applyFill="1" applyBorder="1" applyAlignment="1">
      <alignment horizontal="center" vertical="center"/>
    </xf>
    <xf numFmtId="38" fontId="23" fillId="9" borderId="27" xfId="1" applyFont="1" applyFill="1" applyBorder="1" applyAlignment="1">
      <alignment horizontal="center" vertical="center"/>
    </xf>
    <xf numFmtId="38" fontId="23" fillId="9" borderId="144" xfId="1" applyFont="1" applyFill="1" applyBorder="1" applyAlignment="1">
      <alignment horizontal="center" vertical="center"/>
    </xf>
    <xf numFmtId="38" fontId="23" fillId="9" borderId="100" xfId="1" applyFont="1" applyFill="1" applyBorder="1" applyAlignment="1">
      <alignment horizontal="center" vertical="center"/>
    </xf>
    <xf numFmtId="0" fontId="31" fillId="0" borderId="93" xfId="0" applyFont="1" applyFill="1" applyBorder="1" applyAlignment="1">
      <alignment horizontal="center" vertical="center" wrapText="1"/>
    </xf>
    <xf numFmtId="0" fontId="31" fillId="0" borderId="96" xfId="0" applyFont="1" applyFill="1" applyBorder="1" applyAlignment="1">
      <alignment horizontal="center" vertical="center" wrapText="1"/>
    </xf>
    <xf numFmtId="0" fontId="31" fillId="0" borderId="109"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1" fillId="0" borderId="82" xfId="0" applyFont="1" applyFill="1" applyBorder="1" applyAlignment="1">
      <alignment horizontal="center" vertical="center" wrapText="1"/>
    </xf>
    <xf numFmtId="0" fontId="31" fillId="0" borderId="83" xfId="0" applyFont="1" applyFill="1" applyBorder="1" applyAlignment="1">
      <alignment horizontal="center" vertical="center" wrapText="1"/>
    </xf>
    <xf numFmtId="0" fontId="31" fillId="0" borderId="9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4" fillId="6" borderId="13" xfId="0" applyFont="1" applyFill="1" applyBorder="1" applyAlignment="1">
      <alignment horizontal="center" vertical="center"/>
    </xf>
    <xf numFmtId="0" fontId="4" fillId="6" borderId="131" xfId="0" applyFont="1" applyFill="1" applyBorder="1" applyAlignment="1">
      <alignment horizontal="center" vertical="center" wrapText="1"/>
    </xf>
    <xf numFmtId="0" fontId="32" fillId="15" borderId="93" xfId="0" applyFont="1" applyFill="1" applyBorder="1" applyAlignment="1">
      <alignment horizontal="center" vertical="center"/>
    </xf>
    <xf numFmtId="0" fontId="32" fillId="15" borderId="96" xfId="0" applyFont="1" applyFill="1" applyBorder="1" applyAlignment="1">
      <alignment horizontal="center" vertical="center"/>
    </xf>
    <xf numFmtId="0" fontId="32" fillId="15" borderId="41" xfId="0" applyFont="1" applyFill="1" applyBorder="1" applyAlignment="1">
      <alignment horizontal="center" vertical="center"/>
    </xf>
    <xf numFmtId="0" fontId="32" fillId="15" borderId="82" xfId="0" applyFont="1" applyFill="1" applyBorder="1" applyAlignment="1">
      <alignment horizontal="center" vertical="center"/>
    </xf>
    <xf numFmtId="0" fontId="27" fillId="0" borderId="96" xfId="0" applyFont="1" applyBorder="1" applyAlignment="1">
      <alignment horizontal="center" vertical="center"/>
    </xf>
    <xf numFmtId="0" fontId="27" fillId="0" borderId="0" xfId="0" applyFont="1" applyBorder="1" applyAlignment="1">
      <alignment horizontal="center" vertical="center"/>
    </xf>
    <xf numFmtId="0" fontId="17" fillId="0" borderId="92" xfId="0" applyFont="1" applyFill="1" applyBorder="1" applyAlignment="1">
      <alignmen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4" fillId="6" borderId="145" xfId="0" applyFont="1" applyFill="1" applyBorder="1" applyAlignment="1">
      <alignment horizontal="center" vertical="center"/>
    </xf>
    <xf numFmtId="0" fontId="4" fillId="19" borderId="96" xfId="0" applyFont="1" applyFill="1" applyBorder="1" applyAlignment="1">
      <alignment horizontal="center" vertical="center"/>
    </xf>
    <xf numFmtId="0" fontId="4" fillId="19" borderId="109" xfId="0" applyFont="1" applyFill="1"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0" fillId="0" borderId="83" xfId="0" applyBorder="1" applyAlignment="1">
      <alignment horizontal="left" vertical="center"/>
    </xf>
    <xf numFmtId="0" fontId="0" fillId="9" borderId="64" xfId="0" applyFill="1" applyBorder="1" applyAlignment="1">
      <alignment horizontal="center" vertical="center"/>
    </xf>
    <xf numFmtId="0" fontId="0" fillId="9" borderId="63" xfId="0" applyFill="1" applyBorder="1" applyAlignment="1">
      <alignment horizontal="center" vertical="center"/>
    </xf>
    <xf numFmtId="0" fontId="0" fillId="9" borderId="129" xfId="0" applyFill="1" applyBorder="1" applyAlignment="1">
      <alignment horizontal="center" vertical="center"/>
    </xf>
    <xf numFmtId="0" fontId="4" fillId="0" borderId="82" xfId="0" applyFont="1" applyBorder="1" applyAlignment="1">
      <alignment horizontal="left" vertical="center"/>
    </xf>
    <xf numFmtId="0" fontId="4" fillId="0" borderId="105" xfId="0" applyFont="1" applyBorder="1" applyAlignment="1">
      <alignment horizontal="left" vertical="center"/>
    </xf>
    <xf numFmtId="0" fontId="4" fillId="0" borderId="94" xfId="0" applyFont="1" applyBorder="1" applyAlignment="1">
      <alignment horizontal="left" vertical="center"/>
    </xf>
    <xf numFmtId="0" fontId="4" fillId="0" borderId="96" xfId="0" applyFont="1" applyBorder="1" applyAlignment="1">
      <alignment horizontal="left" vertical="center"/>
    </xf>
    <xf numFmtId="0" fontId="4" fillId="0" borderId="117" xfId="0" applyFont="1" applyBorder="1" applyAlignment="1">
      <alignment horizontal="left" vertical="center"/>
    </xf>
    <xf numFmtId="0" fontId="4" fillId="10" borderId="22"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00" xfId="0" applyFont="1" applyFill="1" applyBorder="1" applyAlignment="1">
      <alignment horizontal="center" vertical="center"/>
    </xf>
    <xf numFmtId="180" fontId="4" fillId="9" borderId="10" xfId="0" applyNumberFormat="1" applyFont="1" applyFill="1" applyBorder="1" applyAlignment="1">
      <alignment horizontal="right" vertical="center"/>
    </xf>
    <xf numFmtId="180" fontId="4" fillId="9" borderId="11" xfId="0" applyNumberFormat="1" applyFont="1" applyFill="1" applyBorder="1" applyAlignment="1">
      <alignment horizontal="right" vertical="center"/>
    </xf>
    <xf numFmtId="180" fontId="4" fillId="9" borderId="12" xfId="0" applyNumberFormat="1" applyFont="1" applyFill="1" applyBorder="1" applyAlignment="1">
      <alignment horizontal="righ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00" xfId="0" applyFont="1" applyBorder="1" applyAlignment="1">
      <alignment horizontal="left" vertical="center"/>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9" borderId="10" xfId="0" applyFont="1" applyFill="1" applyBorder="1" applyAlignment="1">
      <alignment horizontal="right" vertical="center"/>
    </xf>
    <xf numFmtId="0" fontId="4" fillId="9" borderId="11" xfId="0" applyFont="1" applyFill="1" applyBorder="1" applyAlignment="1">
      <alignment horizontal="right" vertical="center"/>
    </xf>
    <xf numFmtId="0" fontId="4" fillId="9" borderId="12" xfId="0" applyFont="1" applyFill="1" applyBorder="1" applyAlignment="1">
      <alignment horizontal="right" vertical="center"/>
    </xf>
    <xf numFmtId="194" fontId="4" fillId="9" borderId="10" xfId="0" applyNumberFormat="1" applyFont="1" applyFill="1" applyBorder="1" applyAlignment="1">
      <alignment horizontal="right" vertical="center"/>
    </xf>
    <xf numFmtId="194" fontId="4" fillId="9" borderId="11" xfId="0" applyNumberFormat="1" applyFont="1" applyFill="1" applyBorder="1" applyAlignment="1">
      <alignment horizontal="right" vertical="center"/>
    </xf>
    <xf numFmtId="194" fontId="4" fillId="9" borderId="12" xfId="0" applyNumberFormat="1" applyFont="1" applyFill="1" applyBorder="1" applyAlignment="1">
      <alignment horizontal="right" vertical="center"/>
    </xf>
    <xf numFmtId="0" fontId="4" fillId="0" borderId="91"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101" xfId="0" applyFont="1" applyBorder="1" applyAlignment="1">
      <alignment horizontal="left" vertical="center"/>
    </xf>
    <xf numFmtId="0" fontId="4" fillId="9" borderId="90"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02" xfId="0" applyFont="1" applyFill="1" applyBorder="1" applyAlignment="1">
      <alignment horizontal="center" vertical="center"/>
    </xf>
    <xf numFmtId="0" fontId="4" fillId="0" borderId="90" xfId="0" applyFont="1" applyBorder="1" applyAlignment="1">
      <alignment horizontal="left" vertical="center"/>
    </xf>
    <xf numFmtId="0" fontId="4" fillId="0" borderId="102" xfId="0" applyFont="1" applyBorder="1" applyAlignment="1">
      <alignment horizontal="left" vertical="center"/>
    </xf>
    <xf numFmtId="0" fontId="4" fillId="10" borderId="92" xfId="0" applyFont="1" applyFill="1" applyBorder="1" applyAlignment="1">
      <alignment horizontal="center" vertical="center"/>
    </xf>
    <xf numFmtId="2" fontId="4" fillId="9" borderId="10" xfId="0" applyNumberFormat="1" applyFont="1" applyFill="1" applyBorder="1" applyAlignment="1">
      <alignment horizontal="right" vertical="center"/>
    </xf>
    <xf numFmtId="2" fontId="4" fillId="9" borderId="11" xfId="0" applyNumberFormat="1" applyFont="1" applyFill="1" applyBorder="1" applyAlignment="1">
      <alignment horizontal="right" vertical="center"/>
    </xf>
    <xf numFmtId="2" fontId="4" fillId="9" borderId="12" xfId="0" applyNumberFormat="1" applyFont="1" applyFill="1" applyBorder="1" applyAlignment="1">
      <alignment horizontal="right" vertical="center"/>
    </xf>
    <xf numFmtId="1" fontId="4" fillId="9" borderId="10" xfId="0" applyNumberFormat="1" applyFont="1" applyFill="1" applyBorder="1" applyAlignment="1">
      <alignment horizontal="right" vertical="center"/>
    </xf>
    <xf numFmtId="1" fontId="4" fillId="9" borderId="11" xfId="0" applyNumberFormat="1" applyFont="1" applyFill="1" applyBorder="1" applyAlignment="1">
      <alignment horizontal="right" vertical="center"/>
    </xf>
    <xf numFmtId="1" fontId="4" fillId="9" borderId="12" xfId="0" applyNumberFormat="1" applyFont="1" applyFill="1" applyBorder="1" applyAlignment="1">
      <alignment horizontal="right" vertical="center"/>
    </xf>
    <xf numFmtId="177" fontId="4" fillId="9" borderId="1" xfId="1" applyNumberFormat="1" applyFont="1" applyFill="1" applyBorder="1" applyAlignment="1">
      <alignment horizontal="right" vertical="center"/>
    </xf>
    <xf numFmtId="177" fontId="4" fillId="9" borderId="1" xfId="1" applyNumberFormat="1" applyFont="1" applyFill="1" applyBorder="1" applyAlignment="1">
      <alignment horizontal="center" vertical="center"/>
    </xf>
    <xf numFmtId="0" fontId="4" fillId="0" borderId="100" xfId="0" applyFont="1" applyBorder="1" applyAlignment="1">
      <alignment horizontal="center" vertical="center"/>
    </xf>
    <xf numFmtId="177" fontId="10" fillId="9" borderId="1" xfId="1" applyNumberFormat="1" applyFont="1" applyFill="1" applyBorder="1" applyAlignment="1">
      <alignment horizontal="right" vertical="center"/>
    </xf>
    <xf numFmtId="177" fontId="10" fillId="9" borderId="1" xfId="16" applyNumberFormat="1" applyFont="1" applyFill="1" applyBorder="1" applyAlignment="1">
      <alignment horizontal="right" vertical="center"/>
    </xf>
    <xf numFmtId="0" fontId="4" fillId="9" borderId="10" xfId="0" applyFont="1" applyFill="1" applyBorder="1" applyAlignment="1">
      <alignment horizontal="left" vertical="center"/>
    </xf>
    <xf numFmtId="0" fontId="4" fillId="9" borderId="11" xfId="0" applyFont="1" applyFill="1" applyBorder="1" applyAlignment="1">
      <alignment horizontal="left" vertical="center"/>
    </xf>
    <xf numFmtId="0" fontId="4" fillId="9" borderId="100" xfId="0" applyFont="1" applyFill="1" applyBorder="1" applyAlignment="1">
      <alignment horizontal="left" vertical="center"/>
    </xf>
    <xf numFmtId="0" fontId="4" fillId="0" borderId="92" xfId="0" applyFont="1" applyBorder="1" applyAlignment="1">
      <alignment horizontal="center" vertical="center"/>
    </xf>
    <xf numFmtId="0" fontId="15" fillId="9" borderId="1" xfId="16" applyFont="1" applyFill="1" applyBorder="1" applyAlignment="1">
      <alignment horizontal="right" vertical="center"/>
    </xf>
    <xf numFmtId="0" fontId="15" fillId="9" borderId="1" xfId="0" applyFont="1" applyFill="1" applyBorder="1" applyAlignment="1">
      <alignment horizontal="center" vertical="center"/>
    </xf>
    <xf numFmtId="0" fontId="10" fillId="9" borderId="1" xfId="16" applyFont="1" applyFill="1" applyBorder="1" applyAlignment="1">
      <alignment horizontal="left" vertical="center"/>
    </xf>
    <xf numFmtId="0" fontId="10" fillId="9" borderId="21" xfId="16" applyFont="1" applyFill="1" applyBorder="1" applyAlignment="1">
      <alignment horizontal="left"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02" xfId="0" applyFont="1" applyBorder="1" applyAlignment="1">
      <alignment horizontal="center" vertical="center"/>
    </xf>
    <xf numFmtId="0" fontId="4" fillId="0" borderId="89" xfId="0" applyFont="1" applyBorder="1" applyAlignment="1">
      <alignment horizontal="center" vertical="center"/>
    </xf>
    <xf numFmtId="0" fontId="4" fillId="0" borderId="3" xfId="0" applyFont="1" applyBorder="1" applyAlignment="1">
      <alignment horizontal="center" vertical="center"/>
    </xf>
    <xf numFmtId="0" fontId="4" fillId="0" borderId="87"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xf>
    <xf numFmtId="0" fontId="28" fillId="0" borderId="1" xfId="0" applyFont="1" applyBorder="1" applyAlignment="1">
      <alignment horizontal="left" vertical="center" shrinkToFit="1"/>
    </xf>
    <xf numFmtId="0" fontId="28" fillId="0" borderId="21"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21" xfId="0" applyFont="1" applyBorder="1" applyAlignment="1">
      <alignment horizontal="left" vertical="center" shrinkToFit="1"/>
    </xf>
    <xf numFmtId="0" fontId="0" fillId="0" borderId="41" xfId="0" applyFont="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10" borderId="105" xfId="0" applyFont="1" applyFill="1" applyBorder="1" applyAlignment="1">
      <alignment horizontal="center" vertical="center"/>
    </xf>
    <xf numFmtId="0" fontId="0" fillId="10" borderId="94" xfId="0" applyFont="1" applyFill="1" applyBorder="1" applyAlignment="1">
      <alignment horizontal="center" vertical="center"/>
    </xf>
    <xf numFmtId="0" fontId="0" fillId="10" borderId="86" xfId="0" applyFont="1" applyFill="1" applyBorder="1" applyAlignment="1">
      <alignment horizontal="center" vertical="center"/>
    </xf>
    <xf numFmtId="0" fontId="0" fillId="10" borderId="88" xfId="0" applyFont="1" applyFill="1" applyBorder="1" applyAlignment="1">
      <alignment horizontal="center" vertical="center"/>
    </xf>
    <xf numFmtId="0" fontId="0" fillId="10" borderId="117" xfId="0" applyFont="1" applyFill="1" applyBorder="1" applyAlignment="1">
      <alignment horizontal="center" vertical="center"/>
    </xf>
    <xf numFmtId="0" fontId="4" fillId="0" borderId="1" xfId="0" applyFont="1" applyBorder="1" applyAlignment="1">
      <alignment horizontal="left" vertical="center" shrinkToFit="1"/>
    </xf>
    <xf numFmtId="0" fontId="4" fillId="0" borderId="21" xfId="0" applyFont="1" applyBorder="1" applyAlignment="1">
      <alignment horizontal="left" vertical="center" shrinkToFit="1"/>
    </xf>
    <xf numFmtId="0" fontId="15" fillId="0" borderId="22" xfId="0" applyFont="1" applyBorder="1" applyAlignment="1">
      <alignment horizontal="center" vertical="center"/>
    </xf>
    <xf numFmtId="0" fontId="15" fillId="0" borderId="1" xfId="0" applyFont="1" applyBorder="1" applyAlignment="1">
      <alignment horizontal="center" vertical="center"/>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28" fillId="0" borderId="1" xfId="0" applyFont="1" applyBorder="1" applyAlignment="1">
      <alignment horizontal="left" vertical="center" wrapText="1" shrinkToFit="1"/>
    </xf>
    <xf numFmtId="0" fontId="28" fillId="0" borderId="21" xfId="0" applyFont="1" applyBorder="1" applyAlignment="1">
      <alignment horizontal="left" vertical="center" wrapText="1" shrinkToFit="1"/>
    </xf>
    <xf numFmtId="0" fontId="28" fillId="0" borderId="24" xfId="0" applyFont="1" applyBorder="1" applyAlignment="1">
      <alignment horizontal="left" vertical="center" wrapText="1" shrinkToFit="1"/>
    </xf>
    <xf numFmtId="0" fontId="28" fillId="0" borderId="25" xfId="0" applyFont="1" applyBorder="1" applyAlignment="1">
      <alignment horizontal="left" vertical="center" wrapText="1" shrinkToFit="1"/>
    </xf>
    <xf numFmtId="0" fontId="12" fillId="0" borderId="93" xfId="0" applyFont="1" applyBorder="1" applyAlignment="1">
      <alignment horizontal="center" vertical="center"/>
    </xf>
    <xf numFmtId="0" fontId="12" fillId="0" borderId="96" xfId="0" applyFont="1" applyBorder="1" applyAlignment="1">
      <alignment horizontal="center" vertical="center"/>
    </xf>
    <xf numFmtId="0" fontId="12" fillId="0" borderId="109" xfId="0" applyFont="1" applyBorder="1" applyAlignment="1">
      <alignment horizontal="center" vertical="center"/>
    </xf>
    <xf numFmtId="0" fontId="12" fillId="0" borderId="90" xfId="0" applyFont="1" applyBorder="1" applyAlignment="1">
      <alignment horizontal="center" vertical="center"/>
    </xf>
    <xf numFmtId="0" fontId="12" fillId="0" borderId="0" xfId="0" applyFont="1" applyBorder="1" applyAlignment="1">
      <alignment horizontal="center" vertical="center"/>
    </xf>
    <xf numFmtId="0" fontId="12" fillId="0" borderId="102" xfId="0" applyFont="1" applyBorder="1" applyAlignment="1">
      <alignment horizontal="center" vertical="center"/>
    </xf>
    <xf numFmtId="0" fontId="12" fillId="0" borderId="41" xfId="0" applyFont="1" applyBorder="1" applyAlignment="1">
      <alignment horizontal="center"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5" fillId="0" borderId="82" xfId="0" applyFont="1" applyBorder="1" applyAlignment="1">
      <alignment horizontal="left" vertical="center"/>
    </xf>
    <xf numFmtId="0" fontId="15" fillId="7" borderId="115" xfId="0" applyFont="1" applyFill="1" applyBorder="1" applyAlignment="1">
      <alignment horizontal="center" vertical="center"/>
    </xf>
    <xf numFmtId="0" fontId="15" fillId="7" borderId="36" xfId="0" applyFont="1" applyFill="1" applyBorder="1" applyAlignment="1">
      <alignment horizontal="center" vertical="center"/>
    </xf>
    <xf numFmtId="0" fontId="15" fillId="7" borderId="116" xfId="0" applyFont="1" applyFill="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18" xfId="0" applyFont="1" applyBorder="1" applyAlignment="1">
      <alignment horizontal="center" vertical="center" shrinkToFit="1"/>
    </xf>
    <xf numFmtId="0" fontId="10" fillId="0" borderId="1" xfId="0" applyFont="1" applyBorder="1" applyAlignment="1">
      <alignment horizontal="center" vertical="center" shrinkToFit="1"/>
    </xf>
    <xf numFmtId="0" fontId="15" fillId="0" borderId="18"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1"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5" fillId="0" borderId="2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0" xfId="0" applyFont="1" applyBorder="1" applyAlignment="1">
      <alignment horizontal="center" vertical="center" wrapText="1"/>
    </xf>
    <xf numFmtId="0" fontId="15" fillId="0" borderId="103" xfId="0" applyFont="1" applyBorder="1" applyAlignment="1">
      <alignment horizontal="center" vertical="center" wrapText="1"/>
    </xf>
    <xf numFmtId="0" fontId="10" fillId="0" borderId="8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left" vertical="top"/>
    </xf>
    <xf numFmtId="0" fontId="10" fillId="0" borderId="14" xfId="0" applyFont="1" applyBorder="1" applyAlignment="1">
      <alignment horizontal="left" vertical="top"/>
    </xf>
    <xf numFmtId="0" fontId="10" fillId="0" borderId="13" xfId="0" applyFont="1" applyBorder="1" applyAlignment="1">
      <alignment horizontal="center" vertical="center" wrapText="1"/>
    </xf>
    <xf numFmtId="0" fontId="10" fillId="0" borderId="13" xfId="0" applyFont="1" applyBorder="1" applyAlignment="1">
      <alignment horizontal="left" vertical="top"/>
    </xf>
    <xf numFmtId="0" fontId="10" fillId="0" borderId="29" xfId="0" applyFont="1" applyBorder="1" applyAlignment="1">
      <alignment horizontal="left" vertical="top"/>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left" vertical="top"/>
    </xf>
    <xf numFmtId="0" fontId="4" fillId="0" borderId="13"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17" fillId="0" borderId="62" xfId="0" applyFont="1" applyBorder="1" applyAlignment="1">
      <alignment horizontal="left" vertical="center" wrapText="1" shrinkToFit="1"/>
    </xf>
    <xf numFmtId="0" fontId="17" fillId="0" borderId="30" xfId="0" applyFont="1" applyBorder="1" applyAlignment="1">
      <alignment horizontal="left" vertical="center" wrapText="1" shrinkToFit="1"/>
    </xf>
    <xf numFmtId="0" fontId="4" fillId="0" borderId="10" xfId="0" applyFont="1" applyBorder="1" applyAlignment="1">
      <alignment horizontal="left" vertical="top"/>
    </xf>
    <xf numFmtId="0" fontId="4" fillId="0" borderId="12" xfId="0" applyFont="1" applyBorder="1" applyAlignment="1">
      <alignment horizontal="left" vertical="top"/>
    </xf>
    <xf numFmtId="0" fontId="10" fillId="9" borderId="1" xfId="0" applyFont="1" applyFill="1" applyBorder="1" applyAlignment="1">
      <alignment horizontal="left" vertical="top"/>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left" vertical="top"/>
    </xf>
    <xf numFmtId="0" fontId="10" fillId="0" borderId="62" xfId="0" applyFont="1" applyBorder="1" applyAlignment="1">
      <alignment horizontal="left" vertical="center" wrapText="1"/>
    </xf>
    <xf numFmtId="0" fontId="10" fillId="0" borderId="61" xfId="0" applyFont="1" applyBorder="1" applyAlignment="1">
      <alignment horizontal="left" vertical="center" wrapText="1"/>
    </xf>
    <xf numFmtId="0" fontId="10" fillId="0" borderId="98" xfId="0" applyFont="1" applyBorder="1" applyAlignment="1">
      <alignment horizontal="left" vertical="center" wrapText="1"/>
    </xf>
    <xf numFmtId="0" fontId="4" fillId="0" borderId="1" xfId="0" applyFont="1" applyBorder="1" applyAlignment="1">
      <alignment horizontal="left" vertical="top"/>
    </xf>
    <xf numFmtId="0" fontId="4" fillId="0" borderId="29" xfId="0" applyFont="1" applyBorder="1" applyAlignment="1">
      <alignment horizontal="center" vertical="center"/>
    </xf>
    <xf numFmtId="0" fontId="4" fillId="0" borderId="29" xfId="0" applyFont="1" applyBorder="1" applyAlignment="1">
      <alignment horizontal="left" vertical="top"/>
    </xf>
    <xf numFmtId="0" fontId="10" fillId="0" borderId="82" xfId="0" applyFont="1" applyBorder="1" applyAlignment="1">
      <alignment horizontal="left" vertical="center"/>
    </xf>
    <xf numFmtId="0" fontId="15" fillId="8" borderId="115" xfId="0" applyFont="1" applyFill="1" applyBorder="1" applyAlignment="1">
      <alignment horizontal="center" vertical="center"/>
    </xf>
    <xf numFmtId="0" fontId="15" fillId="8" borderId="36" xfId="0" applyFont="1" applyFill="1" applyBorder="1" applyAlignment="1">
      <alignment horizontal="center" vertical="center"/>
    </xf>
    <xf numFmtId="0" fontId="15" fillId="8" borderId="116" xfId="0" applyFont="1" applyFill="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10" xfId="0" applyFont="1" applyBorder="1" applyAlignment="1">
      <alignment horizontal="center" vertical="center" wrapText="1"/>
    </xf>
    <xf numFmtId="0" fontId="15" fillId="0" borderId="76"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5" fillId="0" borderId="97" xfId="0" applyFont="1" applyBorder="1" applyAlignment="1">
      <alignment horizontal="center" vertical="center"/>
    </xf>
    <xf numFmtId="0" fontId="15" fillId="0" borderId="61" xfId="0" applyFont="1" applyBorder="1" applyAlignment="1">
      <alignment horizontal="center" vertical="center"/>
    </xf>
    <xf numFmtId="0" fontId="15" fillId="0" borderId="30" xfId="0" applyFont="1" applyBorder="1" applyAlignment="1">
      <alignment horizontal="center" vertical="center"/>
    </xf>
    <xf numFmtId="0" fontId="10" fillId="0" borderId="76"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xf>
    <xf numFmtId="0" fontId="10" fillId="0" borderId="10" xfId="0" applyFont="1" applyBorder="1" applyAlignment="1">
      <alignment horizontal="left" vertical="top"/>
    </xf>
    <xf numFmtId="0" fontId="10" fillId="0" borderId="12" xfId="0" applyFont="1" applyBorder="1" applyAlignment="1">
      <alignment horizontal="left" vertical="top"/>
    </xf>
    <xf numFmtId="0" fontId="4" fillId="0" borderId="24" xfId="0" applyFont="1"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6" xfId="0" applyBorder="1" applyAlignment="1">
      <alignment horizontal="center" vertical="center" wrapText="1"/>
    </xf>
    <xf numFmtId="0" fontId="0" fillId="0" borderId="85" xfId="0" applyBorder="1" applyAlignment="1">
      <alignment horizontal="center" vertical="center" wrapText="1"/>
    </xf>
    <xf numFmtId="0" fontId="0" fillId="0" borderId="39" xfId="0" applyBorder="1" applyAlignment="1">
      <alignment horizontal="center" vertical="center" wrapText="1"/>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93" xfId="0" applyBorder="1" applyAlignment="1">
      <alignment horizontal="center" vertical="center"/>
    </xf>
    <xf numFmtId="0" fontId="0" fillId="0" borderId="84" xfId="0" applyBorder="1" applyAlignment="1">
      <alignment horizontal="center" vertical="center"/>
    </xf>
    <xf numFmtId="0" fontId="0" fillId="0" borderId="90" xfId="0" applyBorder="1" applyAlignment="1">
      <alignment horizontal="center" vertical="center"/>
    </xf>
    <xf numFmtId="0" fontId="0" fillId="0" borderId="6" xfId="0" applyBorder="1" applyAlignment="1">
      <alignment horizontal="center" vertical="center"/>
    </xf>
    <xf numFmtId="0" fontId="0" fillId="0" borderId="41" xfId="0" applyBorder="1" applyAlignment="1">
      <alignment horizontal="center" vertical="center"/>
    </xf>
    <xf numFmtId="0" fontId="0" fillId="0" borderId="85" xfId="0" applyBorder="1" applyAlignment="1">
      <alignment horizontal="center" vertical="center"/>
    </xf>
    <xf numFmtId="0" fontId="0" fillId="9" borderId="0" xfId="0" applyFill="1" applyBorder="1" applyAlignment="1">
      <alignment horizontal="left" vertical="center" wrapText="1"/>
    </xf>
    <xf numFmtId="0" fontId="0" fillId="9" borderId="102" xfId="0" applyFill="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11" borderId="1" xfId="0" applyFont="1" applyFill="1" applyBorder="1" applyAlignment="1">
      <alignment horizontal="center" vertical="center"/>
    </xf>
    <xf numFmtId="181" fontId="4" fillId="11" borderId="1" xfId="0" applyNumberFormat="1" applyFont="1" applyFill="1" applyBorder="1" applyAlignment="1">
      <alignment horizontal="center" vertical="center" shrinkToFit="1"/>
    </xf>
    <xf numFmtId="0" fontId="4" fillId="11" borderId="15" xfId="0" applyFont="1" applyFill="1" applyBorder="1" applyAlignment="1">
      <alignment horizontal="center" vertical="center"/>
    </xf>
    <xf numFmtId="0" fontId="4" fillId="11" borderId="14" xfId="0" applyFont="1" applyFill="1" applyBorder="1" applyAlignment="1">
      <alignment horizontal="center" vertical="center"/>
    </xf>
    <xf numFmtId="0" fontId="4" fillId="0" borderId="1" xfId="0" applyFont="1" applyBorder="1" applyAlignment="1">
      <alignment horizontal="left" vertical="center"/>
    </xf>
    <xf numFmtId="0" fontId="9" fillId="12" borderId="15" xfId="0" applyFont="1" applyFill="1" applyBorder="1" applyAlignment="1">
      <alignment horizontal="center" vertical="center"/>
    </xf>
    <xf numFmtId="0" fontId="9" fillId="12" borderId="14" xfId="0" applyFont="1" applyFill="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58" xfId="0" applyFont="1" applyBorder="1" applyAlignment="1">
      <alignment horizontal="left" vertical="center"/>
    </xf>
    <xf numFmtId="0" fontId="4" fillId="0" borderId="58" xfId="0" applyFont="1" applyBorder="1" applyAlignment="1">
      <alignment horizontal="center"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xf numFmtId="0" fontId="4" fillId="0" borderId="67" xfId="0" applyFont="1" applyBorder="1" applyAlignment="1">
      <alignment horizontal="left" vertical="center"/>
    </xf>
    <xf numFmtId="0" fontId="4" fillId="0" borderId="0" xfId="0" applyFont="1" applyBorder="1" applyAlignment="1">
      <alignment horizontal="center" vertical="center"/>
    </xf>
    <xf numFmtId="0" fontId="4" fillId="12" borderId="1" xfId="0" applyFont="1" applyFill="1" applyBorder="1" applyAlignment="1">
      <alignment horizontal="center" vertical="center"/>
    </xf>
    <xf numFmtId="181" fontId="4" fillId="12" borderId="1" xfId="0" applyNumberFormat="1" applyFont="1" applyFill="1" applyBorder="1" applyAlignment="1">
      <alignment horizontal="center" vertical="center" shrinkToFit="1"/>
    </xf>
    <xf numFmtId="0" fontId="4" fillId="10"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4" xfId="0" applyFont="1" applyFill="1" applyBorder="1" applyAlignment="1">
      <alignment horizontal="center" vertical="center"/>
    </xf>
    <xf numFmtId="0" fontId="4" fillId="0" borderId="57" xfId="0" applyFont="1" applyBorder="1" applyAlignment="1">
      <alignment horizontal="left" vertical="center"/>
    </xf>
    <xf numFmtId="0" fontId="4" fillId="0" borderId="32" xfId="0" applyFont="1" applyBorder="1" applyAlignment="1">
      <alignment horizontal="left" vertical="center"/>
    </xf>
    <xf numFmtId="0" fontId="4" fillId="0" borderId="68" xfId="0" applyFont="1" applyBorder="1" applyAlignment="1">
      <alignment horizontal="left"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1" borderId="13" xfId="0" applyFont="1" applyFill="1" applyBorder="1" applyAlignment="1">
      <alignment horizontal="center" vertical="center"/>
    </xf>
    <xf numFmtId="181" fontId="4" fillId="11" borderId="13" xfId="0" applyNumberFormat="1" applyFont="1" applyFill="1" applyBorder="1" applyAlignment="1">
      <alignment horizontal="center" vertical="center" shrinkToFit="1"/>
    </xf>
    <xf numFmtId="0" fontId="4" fillId="11" borderId="10" xfId="0" applyFont="1" applyFill="1" applyBorder="1" applyAlignment="1">
      <alignment horizontal="center" vertical="center"/>
    </xf>
    <xf numFmtId="0" fontId="4" fillId="11" borderId="12" xfId="0" applyFont="1" applyFill="1" applyBorder="1" applyAlignment="1">
      <alignment horizontal="center" vertical="center"/>
    </xf>
    <xf numFmtId="181" fontId="4" fillId="11" borderId="10" xfId="0" applyNumberFormat="1" applyFont="1" applyFill="1" applyBorder="1" applyAlignment="1">
      <alignment horizontal="center" vertical="center" shrinkToFit="1"/>
    </xf>
    <xf numFmtId="181" fontId="4" fillId="11" borderId="12" xfId="0" applyNumberFormat="1" applyFont="1" applyFill="1" applyBorder="1" applyAlignment="1">
      <alignment horizontal="center" vertical="center" shrinkToFit="1"/>
    </xf>
    <xf numFmtId="0" fontId="4" fillId="10" borderId="104" xfId="0" applyFont="1" applyFill="1" applyBorder="1" applyAlignment="1">
      <alignment horizontal="center" vertical="center"/>
    </xf>
    <xf numFmtId="0" fontId="4" fillId="10" borderId="78" xfId="0" applyFont="1" applyFill="1" applyBorder="1" applyAlignment="1">
      <alignment horizontal="center" vertical="center"/>
    </xf>
    <xf numFmtId="0" fontId="4" fillId="10" borderId="79" xfId="0" applyFont="1" applyFill="1" applyBorder="1" applyAlignment="1">
      <alignment horizontal="center" vertical="center"/>
    </xf>
    <xf numFmtId="0" fontId="4" fillId="12" borderId="10" xfId="0" applyFont="1" applyFill="1" applyBorder="1" applyAlignment="1">
      <alignment horizontal="center" vertical="center"/>
    </xf>
    <xf numFmtId="0" fontId="4" fillId="12" borderId="12" xfId="0" applyFont="1" applyFill="1" applyBorder="1" applyAlignment="1">
      <alignment horizontal="center" vertical="center"/>
    </xf>
    <xf numFmtId="0" fontId="4" fillId="0" borderId="14" xfId="0" applyFont="1" applyBorder="1" applyAlignment="1">
      <alignment horizontal="left" vertical="center"/>
    </xf>
    <xf numFmtId="181" fontId="4" fillId="12" borderId="10" xfId="0" applyNumberFormat="1" applyFont="1" applyFill="1" applyBorder="1" applyAlignment="1">
      <alignment horizontal="center" vertical="center" shrinkToFit="1"/>
    </xf>
    <xf numFmtId="181" fontId="4" fillId="12" borderId="12" xfId="0" applyNumberFormat="1" applyFont="1" applyFill="1" applyBorder="1" applyAlignment="1">
      <alignment horizontal="center" vertical="center" shrinkToFit="1"/>
    </xf>
    <xf numFmtId="0" fontId="4" fillId="12" borderId="11" xfId="0" applyFont="1" applyFill="1" applyBorder="1" applyAlignment="1">
      <alignment horizontal="center" vertical="center"/>
    </xf>
    <xf numFmtId="0" fontId="4" fillId="11" borderId="6" xfId="0" applyFont="1" applyFill="1" applyBorder="1" applyAlignment="1">
      <alignment horizontal="center" vertical="center"/>
    </xf>
    <xf numFmtId="0" fontId="4" fillId="11" borderId="9" xfId="0" applyFont="1" applyFill="1" applyBorder="1" applyAlignment="1">
      <alignment horizontal="center" vertical="center"/>
    </xf>
    <xf numFmtId="0" fontId="4" fillId="0" borderId="13" xfId="0" applyFont="1" applyBorder="1" applyAlignment="1">
      <alignment horizontal="left" vertical="center" wrapText="1"/>
    </xf>
    <xf numFmtId="0" fontId="4" fillId="0" borderId="58" xfId="0" applyFont="1" applyBorder="1" applyAlignment="1">
      <alignment horizontal="left" vertical="center" wrapText="1"/>
    </xf>
    <xf numFmtId="0" fontId="4" fillId="0" borderId="67" xfId="0" applyFont="1" applyBorder="1" applyAlignment="1">
      <alignment horizontal="center" vertical="center"/>
    </xf>
    <xf numFmtId="0" fontId="4" fillId="0" borderId="13" xfId="0" applyFont="1" applyBorder="1" applyAlignment="1">
      <alignment horizontal="left" vertical="center" shrinkToFit="1"/>
    </xf>
    <xf numFmtId="0" fontId="4" fillId="0" borderId="58" xfId="0" applyFont="1" applyBorder="1" applyAlignment="1">
      <alignment horizontal="left" vertical="center" shrinkToFit="1"/>
    </xf>
    <xf numFmtId="193" fontId="4" fillId="0" borderId="1" xfId="0" applyNumberFormat="1" applyFont="1" applyFill="1" applyBorder="1" applyAlignment="1">
      <alignment horizontal="center" vertical="center"/>
    </xf>
    <xf numFmtId="193" fontId="4" fillId="0" borderId="67" xfId="0" applyNumberFormat="1" applyFont="1" applyFill="1" applyBorder="1" applyAlignment="1">
      <alignment horizontal="center" vertical="center"/>
    </xf>
    <xf numFmtId="0" fontId="10" fillId="8" borderId="1" xfId="0" applyFont="1" applyFill="1" applyBorder="1" applyAlignment="1">
      <alignment horizontal="center" vertical="center"/>
    </xf>
    <xf numFmtId="181" fontId="10" fillId="8" borderId="1" xfId="0" applyNumberFormat="1" applyFont="1" applyFill="1" applyBorder="1" applyAlignment="1">
      <alignment horizontal="center" vertical="center"/>
    </xf>
    <xf numFmtId="181" fontId="10" fillId="8" borderId="1" xfId="0" applyNumberFormat="1" applyFont="1" applyFill="1" applyBorder="1" applyAlignment="1">
      <alignment horizontal="center" vertical="center" shrinkToFit="1"/>
    </xf>
    <xf numFmtId="0" fontId="4" fillId="12" borderId="2"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13" xfId="0" applyFont="1" applyFill="1" applyBorder="1" applyAlignment="1">
      <alignment horizontal="center" vertical="center"/>
    </xf>
    <xf numFmtId="181" fontId="4" fillId="12" borderId="13" xfId="0" applyNumberFormat="1" applyFont="1" applyFill="1" applyBorder="1" applyAlignment="1">
      <alignment horizontal="center" vertical="center" shrinkToFit="1"/>
    </xf>
    <xf numFmtId="190" fontId="4" fillId="0" borderId="1" xfId="0" applyNumberFormat="1" applyFont="1" applyBorder="1" applyAlignment="1">
      <alignment horizontal="center" vertical="center"/>
    </xf>
    <xf numFmtId="0" fontId="0" fillId="0" borderId="10" xfId="0" applyBorder="1" applyAlignment="1">
      <alignment horizontal="left" shrinkToFit="1"/>
    </xf>
    <xf numFmtId="0" fontId="0" fillId="0" borderId="11" xfId="0" applyBorder="1" applyAlignment="1">
      <alignment horizontal="left" shrinkToFit="1"/>
    </xf>
    <xf numFmtId="0" fontId="0" fillId="0" borderId="12" xfId="0" applyBorder="1" applyAlignment="1">
      <alignment horizontal="left" shrinkToFit="1"/>
    </xf>
    <xf numFmtId="0" fontId="4" fillId="8" borderId="15" xfId="0" applyFont="1" applyFill="1" applyBorder="1" applyAlignment="1">
      <alignment horizontal="center" vertical="center"/>
    </xf>
    <xf numFmtId="0" fontId="4" fillId="8" borderId="14" xfId="0" applyFont="1" applyFill="1" applyBorder="1" applyAlignment="1">
      <alignment horizontal="center" vertical="center"/>
    </xf>
    <xf numFmtId="190" fontId="4" fillId="0" borderId="10" xfId="0" applyNumberFormat="1" applyFont="1" applyBorder="1" applyAlignment="1">
      <alignment horizontal="center" vertical="center"/>
    </xf>
    <xf numFmtId="190" fontId="4" fillId="0" borderId="12" xfId="0" applyNumberFormat="1" applyFont="1" applyBorder="1" applyAlignment="1">
      <alignment horizontal="center" vertical="center"/>
    </xf>
    <xf numFmtId="190" fontId="4" fillId="0" borderId="67" xfId="0" applyNumberFormat="1" applyFont="1" applyBorder="1" applyAlignment="1">
      <alignment horizontal="center" vertical="center"/>
    </xf>
    <xf numFmtId="0" fontId="0" fillId="0" borderId="57" xfId="0" applyBorder="1" applyAlignment="1">
      <alignment horizontal="left" shrinkToFit="1"/>
    </xf>
    <xf numFmtId="0" fontId="0" fillId="0" borderId="32" xfId="0" applyBorder="1" applyAlignment="1">
      <alignment horizontal="left" shrinkToFit="1"/>
    </xf>
    <xf numFmtId="0" fontId="0" fillId="0" borderId="68" xfId="0" applyBorder="1" applyAlignment="1">
      <alignment horizontal="left" shrinkToFit="1"/>
    </xf>
    <xf numFmtId="0" fontId="4" fillId="0" borderId="57" xfId="0" applyFont="1" applyBorder="1" applyAlignment="1">
      <alignment horizontal="center" vertical="center"/>
    </xf>
    <xf numFmtId="0" fontId="4" fillId="0" borderId="68" xfId="0" applyFont="1" applyBorder="1" applyAlignment="1">
      <alignment horizontal="center" vertical="center"/>
    </xf>
    <xf numFmtId="0" fontId="4" fillId="0" borderId="32" xfId="0" applyFont="1" applyBorder="1" applyAlignment="1">
      <alignment horizontal="center" vertical="center"/>
    </xf>
    <xf numFmtId="0" fontId="4" fillId="6" borderId="1" xfId="0" applyFont="1" applyFill="1" applyBorder="1" applyAlignment="1">
      <alignment horizontal="center" vertical="center"/>
    </xf>
    <xf numFmtId="0" fontId="4" fillId="6" borderId="138" xfId="0" applyFont="1" applyFill="1" applyBorder="1" applyAlignment="1">
      <alignment horizontal="center" vertical="center"/>
    </xf>
    <xf numFmtId="0" fontId="4" fillId="6" borderId="45" xfId="0" applyFont="1" applyFill="1" applyBorder="1" applyAlignment="1">
      <alignment horizontal="center" vertical="center"/>
    </xf>
    <xf numFmtId="0" fontId="4" fillId="0" borderId="72" xfId="0" applyFont="1" applyBorder="1" applyAlignment="1">
      <alignment horizontal="right" vertical="center"/>
    </xf>
    <xf numFmtId="0" fontId="4" fillId="0" borderId="73" xfId="0" applyFont="1" applyBorder="1" applyAlignment="1">
      <alignment horizontal="right" vertical="center"/>
    </xf>
    <xf numFmtId="0" fontId="4" fillId="0" borderId="60" xfId="0" applyFont="1" applyBorder="1" applyAlignment="1">
      <alignment horizontal="right" vertical="center"/>
    </xf>
    <xf numFmtId="0" fontId="4" fillId="0" borderId="46" xfId="0" applyFont="1" applyBorder="1" applyAlignment="1">
      <alignment horizontal="right" vertical="center"/>
    </xf>
    <xf numFmtId="0" fontId="4" fillId="0" borderId="1" xfId="0" applyFont="1" applyBorder="1" applyAlignment="1">
      <alignment horizontal="center" vertical="top"/>
    </xf>
    <xf numFmtId="0" fontId="4" fillId="9" borderId="10" xfId="0" applyFont="1" applyFill="1" applyBorder="1" applyAlignment="1">
      <alignment horizontal="left" vertical="top"/>
    </xf>
    <xf numFmtId="0" fontId="4" fillId="9" borderId="12" xfId="0" applyFont="1" applyFill="1" applyBorder="1" applyAlignment="1">
      <alignment horizontal="left" vertical="top"/>
    </xf>
    <xf numFmtId="0" fontId="10" fillId="9" borderId="14" xfId="0" applyFont="1" applyFill="1" applyBorder="1" applyAlignment="1">
      <alignment horizontal="left" vertical="top"/>
    </xf>
    <xf numFmtId="0" fontId="4" fillId="9" borderId="1" xfId="0" applyFont="1" applyFill="1" applyBorder="1" applyAlignment="1">
      <alignment horizontal="left" vertical="top"/>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xf>
    <xf numFmtId="0" fontId="15" fillId="0" borderId="1" xfId="17" applyFont="1" applyFill="1" applyBorder="1" applyAlignment="1">
      <alignment horizontal="left" vertical="center"/>
    </xf>
    <xf numFmtId="0" fontId="10" fillId="0" borderId="13" xfId="17" applyFont="1" applyFill="1" applyBorder="1" applyAlignment="1">
      <alignment horizontal="left" vertical="center"/>
    </xf>
    <xf numFmtId="0" fontId="10" fillId="0" borderId="15" xfId="17" applyFont="1" applyFill="1" applyBorder="1" applyAlignment="1">
      <alignment horizontal="left" vertical="center"/>
    </xf>
    <xf numFmtId="0" fontId="10" fillId="0" borderId="58" xfId="17" applyFont="1" applyFill="1" applyBorder="1" applyAlignment="1">
      <alignment horizontal="left" vertical="center"/>
    </xf>
    <xf numFmtId="0" fontId="10"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4" xfId="0" applyFont="1" applyFill="1" applyBorder="1" applyAlignment="1">
      <alignment horizontal="center" vertical="center"/>
    </xf>
    <xf numFmtId="0" fontId="10" fillId="0" borderId="13" xfId="16" applyFont="1" applyFill="1" applyBorder="1" applyAlignment="1">
      <alignment horizontal="left" vertical="center"/>
    </xf>
    <xf numFmtId="0" fontId="10" fillId="0" borderId="14" xfId="16" applyFont="1" applyFill="1" applyBorder="1" applyAlignment="1">
      <alignment horizontal="left" vertical="center"/>
    </xf>
    <xf numFmtId="0" fontId="10" fillId="9" borderId="1" xfId="0" applyFont="1" applyFill="1" applyBorder="1" applyAlignment="1">
      <alignment horizontal="left" vertical="center"/>
    </xf>
    <xf numFmtId="0" fontId="4" fillId="4" borderId="1" xfId="0" applyFont="1" applyFill="1" applyBorder="1" applyAlignment="1">
      <alignment horizontal="center" vertical="center"/>
    </xf>
    <xf numFmtId="0" fontId="10" fillId="9" borderId="13" xfId="0" applyFont="1" applyFill="1" applyBorder="1" applyAlignment="1">
      <alignment horizontal="left" vertical="center"/>
    </xf>
    <xf numFmtId="0" fontId="10" fillId="9" borderId="14" xfId="0" applyFont="1" applyFill="1" applyBorder="1" applyAlignment="1">
      <alignment horizontal="left" vertical="center"/>
    </xf>
    <xf numFmtId="0" fontId="4" fillId="4" borderId="14" xfId="0" applyFont="1" applyFill="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4" fillId="0" borderId="81" xfId="0" applyFont="1" applyBorder="1" applyAlignment="1">
      <alignment horizontal="center" vertical="center"/>
    </xf>
    <xf numFmtId="0" fontId="0" fillId="0" borderId="10" xfId="0" applyBorder="1" applyAlignment="1">
      <alignment horizontal="center" shrinkToFit="1"/>
    </xf>
    <xf numFmtId="0" fontId="0" fillId="0" borderId="11" xfId="0" applyBorder="1" applyAlignment="1">
      <alignment horizontal="center" shrinkToFit="1"/>
    </xf>
    <xf numFmtId="0" fontId="0" fillId="0" borderId="12" xfId="0" applyBorder="1" applyAlignment="1">
      <alignment horizontal="center" shrinkToFit="1"/>
    </xf>
    <xf numFmtId="0" fontId="4" fillId="0" borderId="60" xfId="0" applyFont="1" applyBorder="1" applyAlignment="1">
      <alignment horizontal="center" vertical="center"/>
    </xf>
    <xf numFmtId="0" fontId="4" fillId="0" borderId="46"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177" fontId="4" fillId="0" borderId="60" xfId="0" applyNumberFormat="1" applyFont="1" applyBorder="1" applyAlignment="1">
      <alignment horizontal="center" vertical="center"/>
    </xf>
    <xf numFmtId="177" fontId="4" fillId="0" borderId="46" xfId="0" applyNumberFormat="1" applyFont="1" applyBorder="1" applyAlignment="1">
      <alignment horizontal="center" vertical="center"/>
    </xf>
    <xf numFmtId="0" fontId="10" fillId="0" borderId="15" xfId="16" applyFont="1" applyFill="1" applyBorder="1" applyAlignment="1">
      <alignment horizontal="left" vertical="center"/>
    </xf>
    <xf numFmtId="0" fontId="0" fillId="0" borderId="24" xfId="0" applyBorder="1" applyAlignment="1">
      <alignment horizontal="center" vertical="center"/>
    </xf>
    <xf numFmtId="0" fontId="10" fillId="0" borderId="1" xfId="0" applyFont="1" applyFill="1" applyBorder="1" applyAlignment="1">
      <alignment horizontal="left" vertical="top"/>
    </xf>
    <xf numFmtId="0" fontId="10" fillId="0" borderId="1" xfId="0" applyFont="1" applyFill="1" applyBorder="1" applyAlignment="1">
      <alignment horizontal="center" vertical="top"/>
    </xf>
    <xf numFmtId="0" fontId="10" fillId="0" borderId="10" xfId="0" applyFont="1" applyFill="1" applyBorder="1" applyAlignment="1">
      <alignment horizontal="left" vertical="top"/>
    </xf>
    <xf numFmtId="0" fontId="10" fillId="0" borderId="12" xfId="0" applyFont="1" applyFill="1" applyBorder="1" applyAlignment="1">
      <alignment horizontal="left" vertical="top"/>
    </xf>
    <xf numFmtId="0" fontId="10" fillId="0" borderId="18" xfId="0" applyFont="1" applyFill="1" applyBorder="1" applyAlignment="1">
      <alignment horizontal="left" vertical="top"/>
    </xf>
    <xf numFmtId="0" fontId="10" fillId="0" borderId="14" xfId="16" applyFont="1" applyFill="1" applyBorder="1" applyAlignment="1">
      <alignment horizontal="left" vertical="top"/>
    </xf>
    <xf numFmtId="0" fontId="10" fillId="0" borderId="1" xfId="16" applyFont="1" applyFill="1" applyBorder="1" applyAlignment="1">
      <alignment horizontal="left" vertical="top"/>
    </xf>
    <xf numFmtId="0" fontId="15" fillId="0" borderId="1" xfId="16" applyFont="1" applyFill="1" applyBorder="1" applyAlignment="1">
      <alignment horizontal="left" vertical="center"/>
    </xf>
    <xf numFmtId="0" fontId="4" fillId="0" borderId="1" xfId="0" applyFont="1" applyFill="1" applyBorder="1" applyAlignment="1">
      <alignment horizontal="center" vertical="center" wrapText="1"/>
    </xf>
  </cellXfs>
  <cellStyles count="18">
    <cellStyle name="20% - アクセント 3" xfId="8" builtinId="38"/>
    <cellStyle name="どちらでもない" xfId="16" builtinId="28"/>
    <cellStyle name="パーセント" xfId="3" builtinId="5"/>
    <cellStyle name="パーセント 2" xfId="5"/>
    <cellStyle name="パーセント 3" xfId="11"/>
    <cellStyle name="メモ" xfId="2" builtinId="10"/>
    <cellStyle name="悪い" xfId="17" builtinId="27"/>
    <cellStyle name="桁区切り" xfId="1" builtinId="6"/>
    <cellStyle name="桁区切り 2" xfId="6"/>
    <cellStyle name="桁区切り 3" xfId="12"/>
    <cellStyle name="標準" xfId="0" builtinId="0"/>
    <cellStyle name="標準 2" xfId="4"/>
    <cellStyle name="標準 2 2" xfId="15"/>
    <cellStyle name="標準 3" xfId="9"/>
    <cellStyle name="標準 3 2" xfId="10"/>
    <cellStyle name="標準 4" xfId="13"/>
    <cellStyle name="標準 5" xfId="14"/>
    <cellStyle name="未定義" xfId="7"/>
  </cellStyles>
  <dxfs count="27">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FF0000"/>
      </font>
      <fill>
        <patternFill>
          <bgColor theme="5" tint="0.79998168889431442"/>
        </patternFill>
      </fill>
      <border>
        <left style="thin">
          <color auto="1"/>
        </left>
        <right style="thin">
          <color auto="1"/>
        </right>
        <top style="thin">
          <color auto="1"/>
        </top>
        <bottom style="thin">
          <color auto="1"/>
        </bottom>
        <vertical/>
        <horizontal/>
      </border>
    </dxf>
    <dxf>
      <font>
        <color rgb="FF006100"/>
      </font>
      <fill>
        <patternFill>
          <bgColor rgb="FFC6EFCE"/>
        </patternFill>
      </fill>
    </dxf>
    <dxf>
      <font>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color rgb="FFCCFF99"/>
      <color rgb="FFFFCCFF"/>
      <color rgb="FFFF66CC"/>
      <color rgb="FF66FFFF"/>
      <color rgb="FF7C446C"/>
      <color rgb="FFB80892"/>
      <color rgb="FFBF0601"/>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a:t>事業費　</a:t>
            </a:r>
            <a:r>
              <a:rPr lang="en-US" sz="1400"/>
              <a:t>【</a:t>
            </a:r>
            <a:r>
              <a:rPr lang="ja-JP" sz="1400"/>
              <a:t>補助有</a:t>
            </a:r>
            <a:r>
              <a:rPr lang="en-US" sz="1400"/>
              <a:t>】</a:t>
            </a:r>
            <a:endParaRPr lang="ja-JP" sz="1400"/>
          </a:p>
        </c:rich>
      </c:tx>
      <c:overlay val="0"/>
      <c:spPr>
        <a:solidFill>
          <a:srgbClr val="CCFF99"/>
        </a:solidFill>
        <a:ln>
          <a:solidFill>
            <a:schemeClr val="tx1"/>
          </a:solidFill>
        </a:ln>
      </c:spPr>
    </c:title>
    <c:autoTitleDeleted val="0"/>
    <c:plotArea>
      <c:layout/>
      <c:barChart>
        <c:barDir val="col"/>
        <c:grouping val="stacked"/>
        <c:varyColors val="0"/>
        <c:ser>
          <c:idx val="0"/>
          <c:order val="0"/>
          <c:tx>
            <c:strRef>
              <c:f>[1]⑥算定結果!$AO$6:$AO$7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[1]⑥算定結果!$AQ$7:$AR$7</c:f>
              <c:numCache>
                <c:formatCode>General</c:formatCode>
                <c:ptCount val="2"/>
                <c:pt idx="0">
                  <c:v>93.414525677339398</c:v>
                </c:pt>
                <c:pt idx="1">
                  <c:v>40.066653074734838</c:v>
                </c:pt>
              </c:numCache>
            </c:numRef>
          </c:val>
        </c:ser>
        <c:ser>
          <c:idx val="1"/>
          <c:order val="1"/>
          <c:tx>
            <c:strRef>
              <c:f>[1]⑥算定結果!$AO$8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[1]⑥算定結果!$AQ$8:$AR$8</c:f>
              <c:numCache>
                <c:formatCode>General</c:formatCode>
                <c:ptCount val="2"/>
                <c:pt idx="0">
                  <c:v>152.82596823911695</c:v>
                </c:pt>
                <c:pt idx="1">
                  <c:v>140.1462350664622</c:v>
                </c:pt>
              </c:numCache>
            </c:numRef>
          </c:val>
        </c:ser>
        <c:ser>
          <c:idx val="3"/>
          <c:order val="2"/>
          <c:tx>
            <c:strRef>
              <c:f>[1]⑥算定結果!$AO$9:$AP$9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[1]⑥算定結果!$AQ$9:$AR$9</c:f>
              <c:numCache>
                <c:formatCode>General</c:formatCode>
                <c:ptCount val="2"/>
                <c:pt idx="0">
                  <c:v>171.6</c:v>
                </c:pt>
                <c:pt idx="1">
                  <c:v>176.7</c:v>
                </c:pt>
              </c:numCache>
            </c:numRef>
          </c:val>
        </c:ser>
        <c:ser>
          <c:idx val="2"/>
          <c:order val="3"/>
          <c:tx>
            <c:strRef>
              <c:f>[1]⑥算定結果!$AO$10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[1]⑥算定結果!$AQ$10:$AR$10</c:f>
              <c:numCache>
                <c:formatCode>General</c:formatCode>
                <c:ptCount val="2"/>
                <c:pt idx="0">
                  <c:v>186.29999999999998</c:v>
                </c:pt>
                <c:pt idx="1">
                  <c:v>0</c:v>
                </c:pt>
              </c:numCache>
            </c:numRef>
          </c:val>
        </c:ser>
        <c:dLbls>
          <c:showLegendKey val="0"/>
          <c:showVal val="1"/>
          <c:showCatName val="0"/>
          <c:showSerName val="0"/>
          <c:showPercent val="0"/>
          <c:showBubbleSize val="0"/>
        </c:dLbls>
        <c:gapWidth val="150"/>
        <c:overlap val="100"/>
        <c:axId val="93356416"/>
        <c:axId val="9335795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[1]⑥算定結果!$AQ$12:$AR$12</c:f>
              <c:numCache>
                <c:formatCode>General</c:formatCode>
                <c:ptCount val="2"/>
                <c:pt idx="0">
                  <c:v>604.14049391645631</c:v>
                </c:pt>
                <c:pt idx="1">
                  <c:v>356.91288814119702</c:v>
                </c:pt>
              </c:numCache>
            </c:numRef>
          </c:val>
          <c:smooth val="0"/>
        </c:ser>
        <c:dLbls>
          <c:showLegendKey val="0"/>
          <c:showVal val="0"/>
          <c:showCatName val="0"/>
          <c:showSerName val="0"/>
          <c:showPercent val="0"/>
          <c:showBubbleSize val="0"/>
        </c:dLbls>
        <c:marker val="1"/>
        <c:smooth val="0"/>
        <c:axId val="93356416"/>
        <c:axId val="93357952"/>
      </c:lineChart>
      <c:catAx>
        <c:axId val="93356416"/>
        <c:scaling>
          <c:orientation val="minMax"/>
        </c:scaling>
        <c:delete val="0"/>
        <c:axPos val="b"/>
        <c:numFmt formatCode="General" sourceLinked="1"/>
        <c:majorTickMark val="in"/>
        <c:minorTickMark val="none"/>
        <c:tickLblPos val="nextTo"/>
        <c:spPr>
          <a:ln w="12700">
            <a:solidFill>
              <a:schemeClr val="tx1"/>
            </a:solidFill>
          </a:ln>
        </c:spPr>
        <c:txPr>
          <a:bodyPr/>
          <a:lstStyle/>
          <a:p>
            <a:pPr>
              <a:defRPr sz="1200" b="1"/>
            </a:pPr>
            <a:endParaRPr lang="ja-JP"/>
          </a:p>
        </c:txPr>
        <c:crossAx val="93357952"/>
        <c:crosses val="autoZero"/>
        <c:auto val="1"/>
        <c:lblAlgn val="ctr"/>
        <c:lblOffset val="100"/>
        <c:noMultiLvlLbl val="0"/>
      </c:catAx>
      <c:valAx>
        <c:axId val="93357952"/>
        <c:scaling>
          <c:orientation val="minMax"/>
        </c:scaling>
        <c:delete val="0"/>
        <c:axPos val="l"/>
        <c:majorGridlines/>
        <c:title>
          <c:tx>
            <c:rich>
              <a:bodyPr rot="0" vert="wordArtVertRtl"/>
              <a:lstStyle/>
              <a:p>
                <a:pPr>
                  <a:defRPr sz="1200"/>
                </a:pPr>
                <a:r>
                  <a:rPr lang="ja-JP" sz="1200"/>
                  <a:t>事業費（百万円</a:t>
                </a:r>
                <a:r>
                  <a:rPr lang="ja-JP" altLang="en-US" sz="1200"/>
                  <a:t>／年</a:t>
                </a:r>
                <a:r>
                  <a:rPr lang="ja-JP" sz="1200"/>
                  <a:t>）</a:t>
                </a:r>
              </a:p>
            </c:rich>
          </c:tx>
          <c:layout>
            <c:manualLayout>
              <c:xMode val="edge"/>
              <c:yMode val="edge"/>
              <c:x val="0"/>
              <c:y val="0.32948465924518056"/>
            </c:manualLayout>
          </c:layout>
          <c:overlay val="0"/>
        </c:title>
        <c:numFmt formatCode="General" sourceLinked="1"/>
        <c:majorTickMark val="in"/>
        <c:minorTickMark val="none"/>
        <c:tickLblPos val="nextTo"/>
        <c:spPr>
          <a:ln w="12700">
            <a:solidFill>
              <a:schemeClr val="tx1"/>
            </a:solidFill>
          </a:ln>
        </c:spPr>
        <c:crossAx val="93356416"/>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overlay val="0"/>
      <c:spPr>
        <a:solidFill>
          <a:srgbClr val="FFC000"/>
        </a:solidFill>
        <a:ln>
          <a:solidFill>
            <a:schemeClr val="tx1"/>
          </a:solidFill>
        </a:ln>
      </c:spPr>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[1]⑥算定結果!$AO$6:$AO$7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[1]⑥算定結果!$AQ$6:$AR$6</c:f>
              <c:numCache>
                <c:formatCode>General</c:formatCode>
                <c:ptCount val="2"/>
                <c:pt idx="0">
                  <c:v>123.69082894252087</c:v>
                </c:pt>
                <c:pt idx="1">
                  <c:v>140.77226927964716</c:v>
                </c:pt>
              </c:numCache>
            </c:numRef>
          </c:val>
        </c:ser>
        <c:ser>
          <c:idx val="1"/>
          <c:order val="1"/>
          <c:tx>
            <c:strRef>
              <c:f>[1]⑥算定結果!$AO$8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[1]⑥算定結果!$AQ$8:$AR$8</c:f>
              <c:numCache>
                <c:formatCode>General</c:formatCode>
                <c:ptCount val="2"/>
                <c:pt idx="0">
                  <c:v>152.82596823911695</c:v>
                </c:pt>
                <c:pt idx="1">
                  <c:v>140.1462350664622</c:v>
                </c:pt>
              </c:numCache>
            </c:numRef>
          </c:val>
        </c:ser>
        <c:ser>
          <c:idx val="3"/>
          <c:order val="2"/>
          <c:tx>
            <c:strRef>
              <c:f>[1]⑥算定結果!$AO$9:$AP$9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[1]⑥算定結果!$AQ$9:$AR$9</c:f>
              <c:numCache>
                <c:formatCode>General</c:formatCode>
                <c:ptCount val="2"/>
                <c:pt idx="0">
                  <c:v>171.6</c:v>
                </c:pt>
                <c:pt idx="1">
                  <c:v>176.7</c:v>
                </c:pt>
              </c:numCache>
            </c:numRef>
          </c:val>
        </c:ser>
        <c:ser>
          <c:idx val="2"/>
          <c:order val="3"/>
          <c:tx>
            <c:strRef>
              <c:f>[1]⑥算定結果!$AO$10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[1]⑥算定結果!$AQ$10:$AR$10</c:f>
              <c:numCache>
                <c:formatCode>General</c:formatCode>
                <c:ptCount val="2"/>
                <c:pt idx="0">
                  <c:v>186.29999999999998</c:v>
                </c:pt>
                <c:pt idx="1">
                  <c:v>0</c:v>
                </c:pt>
              </c:numCache>
            </c:numRef>
          </c:val>
        </c:ser>
        <c:dLbls>
          <c:showLegendKey val="0"/>
          <c:showVal val="1"/>
          <c:showCatName val="0"/>
          <c:showSerName val="0"/>
          <c:showPercent val="0"/>
          <c:showBubbleSize val="0"/>
        </c:dLbls>
        <c:gapWidth val="150"/>
        <c:overlap val="100"/>
        <c:axId val="94298496"/>
        <c:axId val="9430003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[1]⑥算定結果!$AQ$5:$AR$5</c:f>
              <c:strCache>
                <c:ptCount val="2"/>
                <c:pt idx="0">
                  <c:v>既存処理体系</c:v>
                </c:pt>
                <c:pt idx="1">
                  <c:v>いしかわモデル導入</c:v>
                </c:pt>
              </c:strCache>
            </c:strRef>
          </c:cat>
          <c:val>
            <c:numRef>
              <c:f>[1]⑥算定結果!$AQ$11:$AR$11</c:f>
              <c:numCache>
                <c:formatCode>General</c:formatCode>
                <c:ptCount val="2"/>
                <c:pt idx="0">
                  <c:v>634.41679718163778</c:v>
                </c:pt>
                <c:pt idx="1">
                  <c:v>457.61850434610932</c:v>
                </c:pt>
              </c:numCache>
            </c:numRef>
          </c:val>
          <c:smooth val="0"/>
        </c:ser>
        <c:dLbls>
          <c:showLegendKey val="0"/>
          <c:showVal val="0"/>
          <c:showCatName val="0"/>
          <c:showSerName val="0"/>
          <c:showPercent val="0"/>
          <c:showBubbleSize val="0"/>
        </c:dLbls>
        <c:marker val="1"/>
        <c:smooth val="0"/>
        <c:axId val="94298496"/>
        <c:axId val="94300032"/>
      </c:lineChart>
      <c:catAx>
        <c:axId val="94298496"/>
        <c:scaling>
          <c:orientation val="minMax"/>
        </c:scaling>
        <c:delete val="0"/>
        <c:axPos val="b"/>
        <c:numFmt formatCode="General" sourceLinked="1"/>
        <c:majorTickMark val="in"/>
        <c:minorTickMark val="none"/>
        <c:tickLblPos val="nextTo"/>
        <c:spPr>
          <a:ln w="12700">
            <a:solidFill>
              <a:schemeClr val="tx1"/>
            </a:solidFill>
          </a:ln>
        </c:spPr>
        <c:txPr>
          <a:bodyPr/>
          <a:lstStyle/>
          <a:p>
            <a:pPr>
              <a:defRPr sz="1200" b="1"/>
            </a:pPr>
            <a:endParaRPr lang="ja-JP"/>
          </a:p>
        </c:txPr>
        <c:crossAx val="94300032"/>
        <c:crosses val="autoZero"/>
        <c:auto val="1"/>
        <c:lblAlgn val="ctr"/>
        <c:lblOffset val="100"/>
        <c:noMultiLvlLbl val="0"/>
      </c:catAx>
      <c:valAx>
        <c:axId val="94300032"/>
        <c:scaling>
          <c:orientation val="minMax"/>
        </c:scaling>
        <c:delete val="0"/>
        <c:axPos val="l"/>
        <c:majorGridlines/>
        <c:title>
          <c:tx>
            <c:rich>
              <a:bodyPr rot="0" vert="wordArtVertRtl"/>
              <a:lstStyle/>
              <a:p>
                <a:pPr>
                  <a:defRPr sz="1200"/>
                </a:pPr>
                <a:r>
                  <a:rPr lang="ja-JP" sz="1200"/>
                  <a:t>事業費（百万円</a:t>
                </a:r>
                <a:r>
                  <a:rPr lang="ja-JP" altLang="en-US" sz="1200"/>
                  <a:t>／年</a:t>
                </a:r>
                <a:r>
                  <a:rPr lang="ja-JP" sz="1200"/>
                  <a:t>）</a:t>
                </a:r>
              </a:p>
            </c:rich>
          </c:tx>
          <c:layout>
            <c:manualLayout>
              <c:xMode val="edge"/>
              <c:yMode val="edge"/>
              <c:x val="0"/>
              <c:y val="0.32948465924518056"/>
            </c:manualLayout>
          </c:layout>
          <c:overlay val="0"/>
        </c:title>
        <c:numFmt formatCode="General" sourceLinked="1"/>
        <c:majorTickMark val="in"/>
        <c:minorTickMark val="none"/>
        <c:tickLblPos val="nextTo"/>
        <c:spPr>
          <a:ln w="12700">
            <a:solidFill>
              <a:schemeClr val="tx1"/>
            </a:solidFill>
          </a:ln>
        </c:spPr>
        <c:crossAx val="94298496"/>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事業費　</a:t>
            </a:r>
            <a:r>
              <a:rPr lang="en-US"/>
              <a:t>【</a:t>
            </a:r>
            <a:r>
              <a:rPr lang="ja-JP"/>
              <a:t>補助有</a:t>
            </a:r>
            <a:r>
              <a:rPr lang="en-US"/>
              <a:t>】</a:t>
            </a:r>
            <a:endParaRPr lang="ja-JP"/>
          </a:p>
        </c:rich>
      </c:tx>
      <c:layout/>
      <c:overlay val="0"/>
    </c:title>
    <c:autoTitleDeleted val="0"/>
    <c:plotArea>
      <c:layout/>
      <c:barChart>
        <c:barDir val="col"/>
        <c:grouping val="stacked"/>
        <c:varyColors val="0"/>
        <c:ser>
          <c:idx val="0"/>
          <c:order val="0"/>
          <c:tx>
            <c:strRef>
              <c:f>④算定結果【例】!$AO$6:$AO$7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④算定結果【例】!$AQ$7:$AR$7</c:f>
              <c:numCache>
                <c:formatCode>#,##0_);[Red]\(#,##0\)</c:formatCode>
                <c:ptCount val="2"/>
                <c:pt idx="0">
                  <c:v>74.959408709557906</c:v>
                </c:pt>
                <c:pt idx="1">
                  <c:v>35.220039879440868</c:v>
                </c:pt>
              </c:numCache>
            </c:numRef>
          </c:val>
        </c:ser>
        <c:ser>
          <c:idx val="1"/>
          <c:order val="1"/>
          <c:tx>
            <c:strRef>
              <c:f>④算定結果【例】!$AO$8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④算定結果【例】!$AQ$8:$AR$8</c:f>
              <c:numCache>
                <c:formatCode>#,##0_);[Red]\(#,##0\)</c:formatCode>
                <c:ptCount val="2"/>
                <c:pt idx="0">
                  <c:v>100.75360500598957</c:v>
                </c:pt>
                <c:pt idx="1">
                  <c:v>133.39226906242413</c:v>
                </c:pt>
              </c:numCache>
            </c:numRef>
          </c:val>
        </c:ser>
        <c:ser>
          <c:idx val="3"/>
          <c:order val="2"/>
          <c:tx>
            <c:strRef>
              <c:f>④算定結果【例】!$AO$9:$AP$9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④算定結果【例】!$AQ$9:$AR$9</c:f>
              <c:numCache>
                <c:formatCode>#,##0_);[Red]\(#,##0\)</c:formatCode>
                <c:ptCount val="2"/>
                <c:pt idx="0">
                  <c:v>105.5</c:v>
                </c:pt>
                <c:pt idx="1">
                  <c:v>111</c:v>
                </c:pt>
              </c:numCache>
            </c:numRef>
          </c:val>
        </c:ser>
        <c:ser>
          <c:idx val="2"/>
          <c:order val="3"/>
          <c:tx>
            <c:strRef>
              <c:f>④算定結果【例】!$AO$10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94037888"/>
        <c:axId val="94039424"/>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④算定結果【例】!$AQ$12:$AR$12</c:f>
              <c:numCache>
                <c:formatCode>#,##0_);[Red]\(#,##0\)</c:formatCode>
                <c:ptCount val="2"/>
                <c:pt idx="0">
                  <c:v>403.48685663665111</c:v>
                </c:pt>
                <c:pt idx="1">
                  <c:v>292.41693378291563</c:v>
                </c:pt>
              </c:numCache>
            </c:numRef>
          </c:val>
          <c:smooth val="0"/>
        </c:ser>
        <c:dLbls>
          <c:showLegendKey val="0"/>
          <c:showVal val="0"/>
          <c:showCatName val="0"/>
          <c:showSerName val="0"/>
          <c:showPercent val="0"/>
          <c:showBubbleSize val="0"/>
        </c:dLbls>
        <c:marker val="1"/>
        <c:smooth val="0"/>
        <c:axId val="94037888"/>
        <c:axId val="94039424"/>
      </c:lineChart>
      <c:catAx>
        <c:axId val="94037888"/>
        <c:scaling>
          <c:orientation val="minMax"/>
        </c:scaling>
        <c:delete val="0"/>
        <c:axPos val="b"/>
        <c:numFmt formatCode="General" sourceLinked="1"/>
        <c:majorTickMark val="in"/>
        <c:minorTickMark val="none"/>
        <c:tickLblPos val="nextTo"/>
        <c:spPr>
          <a:ln w="12700">
            <a:solidFill>
              <a:schemeClr val="tx1"/>
            </a:solidFill>
          </a:ln>
        </c:spPr>
        <c:crossAx val="94039424"/>
        <c:crosses val="autoZero"/>
        <c:auto val="1"/>
        <c:lblAlgn val="ctr"/>
        <c:lblOffset val="100"/>
        <c:noMultiLvlLbl val="0"/>
      </c:catAx>
      <c:valAx>
        <c:axId val="94039424"/>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94037888"/>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layout/>
      <c:overlay val="0"/>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④算定結果【例】!$AO$6:$AO$7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④算定結果【例】!$AQ$6:$AR$6</c:f>
              <c:numCache>
                <c:formatCode>#,##0_);[Red]\(#,##0\)</c:formatCode>
                <c:ptCount val="2"/>
                <c:pt idx="0">
                  <c:v>103.51662276606805</c:v>
                </c:pt>
                <c:pt idx="1">
                  <c:v>125.69129173598199</c:v>
                </c:pt>
              </c:numCache>
            </c:numRef>
          </c:val>
        </c:ser>
        <c:ser>
          <c:idx val="1"/>
          <c:order val="1"/>
          <c:tx>
            <c:strRef>
              <c:f>④算定結果【例】!$AO$8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④算定結果【例】!$AQ$8:$AR$8</c:f>
              <c:numCache>
                <c:formatCode>#,##0_);[Red]\(#,##0\)</c:formatCode>
                <c:ptCount val="2"/>
                <c:pt idx="0">
                  <c:v>100.75360500598957</c:v>
                </c:pt>
                <c:pt idx="1">
                  <c:v>133.39226906242413</c:v>
                </c:pt>
              </c:numCache>
            </c:numRef>
          </c:val>
        </c:ser>
        <c:ser>
          <c:idx val="3"/>
          <c:order val="2"/>
          <c:tx>
            <c:strRef>
              <c:f>④算定結果【例】!$AO$9:$AP$9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④算定結果【例】!$AQ$9:$AR$9</c:f>
              <c:numCache>
                <c:formatCode>#,##0_);[Red]\(#,##0\)</c:formatCode>
                <c:ptCount val="2"/>
                <c:pt idx="0">
                  <c:v>105.5</c:v>
                </c:pt>
                <c:pt idx="1">
                  <c:v>111</c:v>
                </c:pt>
              </c:numCache>
            </c:numRef>
          </c:val>
        </c:ser>
        <c:ser>
          <c:idx val="2"/>
          <c:order val="3"/>
          <c:tx>
            <c:strRef>
              <c:f>④算定結果【例】!$AO$10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④算定結果【例】!$AQ$10:$AR$10</c:f>
              <c:numCache>
                <c:formatCode>#,##0_);[Red]\(#,##0\)</c:formatCode>
                <c:ptCount val="2"/>
                <c:pt idx="0">
                  <c:v>139.29999999999998</c:v>
                </c:pt>
                <c:pt idx="1">
                  <c:v>0</c:v>
                </c:pt>
              </c:numCache>
            </c:numRef>
          </c:val>
        </c:ser>
        <c:dLbls>
          <c:showLegendKey val="0"/>
          <c:showVal val="1"/>
          <c:showCatName val="0"/>
          <c:showSerName val="0"/>
          <c:showPercent val="0"/>
          <c:showBubbleSize val="0"/>
        </c:dLbls>
        <c:gapWidth val="150"/>
        <c:overlap val="100"/>
        <c:axId val="94365568"/>
        <c:axId val="94367104"/>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④算定結果【例】!$AQ$5:$AR$5</c:f>
              <c:strCache>
                <c:ptCount val="2"/>
                <c:pt idx="0">
                  <c:v>既存処理体系</c:v>
                </c:pt>
                <c:pt idx="1">
                  <c:v>いしかわモデル導入</c:v>
                </c:pt>
              </c:strCache>
            </c:strRef>
          </c:cat>
          <c:val>
            <c:numRef>
              <c:f>④算定結果【例】!$AQ$11:$AR$11</c:f>
              <c:numCache>
                <c:formatCode>#,##0_);[Red]\(#,##0\)</c:formatCode>
                <c:ptCount val="2"/>
                <c:pt idx="0">
                  <c:v>449.07022777205759</c:v>
                </c:pt>
                <c:pt idx="1">
                  <c:v>370.08356079840615</c:v>
                </c:pt>
              </c:numCache>
            </c:numRef>
          </c:val>
          <c:smooth val="0"/>
        </c:ser>
        <c:dLbls>
          <c:showLegendKey val="0"/>
          <c:showVal val="0"/>
          <c:showCatName val="0"/>
          <c:showSerName val="0"/>
          <c:showPercent val="0"/>
          <c:showBubbleSize val="0"/>
        </c:dLbls>
        <c:marker val="1"/>
        <c:smooth val="0"/>
        <c:axId val="94365568"/>
        <c:axId val="94367104"/>
      </c:lineChart>
      <c:catAx>
        <c:axId val="94365568"/>
        <c:scaling>
          <c:orientation val="minMax"/>
        </c:scaling>
        <c:delete val="0"/>
        <c:axPos val="b"/>
        <c:numFmt formatCode="General" sourceLinked="1"/>
        <c:majorTickMark val="in"/>
        <c:minorTickMark val="none"/>
        <c:tickLblPos val="nextTo"/>
        <c:spPr>
          <a:ln w="12700">
            <a:solidFill>
              <a:schemeClr val="tx1"/>
            </a:solidFill>
          </a:ln>
        </c:spPr>
        <c:crossAx val="94367104"/>
        <c:crosses val="autoZero"/>
        <c:auto val="1"/>
        <c:lblAlgn val="ctr"/>
        <c:lblOffset val="100"/>
        <c:noMultiLvlLbl val="0"/>
      </c:catAx>
      <c:valAx>
        <c:axId val="94367104"/>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94365568"/>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事業費　</a:t>
            </a:r>
            <a:r>
              <a:rPr lang="en-US"/>
              <a:t>【</a:t>
            </a:r>
            <a:r>
              <a:rPr lang="ja-JP"/>
              <a:t>補助有</a:t>
            </a:r>
            <a:r>
              <a:rPr lang="en-US"/>
              <a:t>】</a:t>
            </a:r>
            <a:endParaRPr lang="ja-JP"/>
          </a:p>
        </c:rich>
      </c:tx>
      <c:layout/>
      <c:overlay val="0"/>
    </c:title>
    <c:autoTitleDeleted val="0"/>
    <c:plotArea>
      <c:layout/>
      <c:barChart>
        <c:barDir val="col"/>
        <c:grouping val="stacked"/>
        <c:varyColors val="0"/>
        <c:ser>
          <c:idx val="0"/>
          <c:order val="0"/>
          <c:tx>
            <c:strRef>
              <c:f>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⑥算定結果!$AQ$7:$AR$7</c:f>
              <c:numCache>
                <c:formatCode>#,##0_);[Red]\(#,##0\)</c:formatCode>
                <c:ptCount val="2"/>
                <c:pt idx="0">
                  <c:v>0</c:v>
                </c:pt>
                <c:pt idx="1">
                  <c:v>0</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⑥算定結果!$AQ$8:$AR$8</c:f>
              <c:numCache>
                <c:formatCode>#,##0_);[Red]\(#,##0\)</c:formatCode>
                <c:ptCount val="2"/>
                <c:pt idx="0">
                  <c:v>0</c:v>
                </c:pt>
                <c:pt idx="1">
                  <c:v>0</c:v>
                </c:pt>
              </c:numCache>
            </c:numRef>
          </c:val>
        </c:ser>
        <c:ser>
          <c:idx val="3"/>
          <c:order val="2"/>
          <c:tx>
            <c:strRef>
              <c:f>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⑥算定結果!$AQ$9:$AR$9</c:f>
              <c:numCache>
                <c:formatCode>#,##0_);[Red]\(#,##0\)</c:formatCode>
                <c:ptCount val="2"/>
                <c:pt idx="0">
                  <c:v>0</c:v>
                </c:pt>
                <c:pt idx="1">
                  <c:v>0</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no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⑥算定結果!$AQ$10:$AR$10</c:f>
              <c:numCache>
                <c:formatCode>#,##0_);[Red]\(#,##0\)</c:formatCode>
                <c:ptCount val="2"/>
                <c:pt idx="0">
                  <c:v>0</c:v>
                </c:pt>
                <c:pt idx="1">
                  <c:v>0</c:v>
                </c:pt>
              </c:numCache>
            </c:numRef>
          </c:val>
        </c:ser>
        <c:dLbls>
          <c:showLegendKey val="0"/>
          <c:showVal val="1"/>
          <c:showCatName val="0"/>
          <c:showSerName val="0"/>
          <c:showPercent val="0"/>
          <c:showBubbleSize val="0"/>
        </c:dLbls>
        <c:gapWidth val="150"/>
        <c:overlap val="100"/>
        <c:axId val="94930816"/>
        <c:axId val="9493235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350083752093802E-2"/>
                  <c:y val="-1.3229166666666667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⑥算定結果!$AQ$12:$AR$12</c:f>
              <c:numCache>
                <c:formatCode>#,##0_);[Red]\(#,##0\)</c:formatCode>
                <c:ptCount val="2"/>
                <c:pt idx="0">
                  <c:v>0</c:v>
                </c:pt>
                <c:pt idx="1">
                  <c:v>0</c:v>
                </c:pt>
              </c:numCache>
            </c:numRef>
          </c:val>
          <c:smooth val="0"/>
        </c:ser>
        <c:dLbls>
          <c:showLegendKey val="0"/>
          <c:showVal val="0"/>
          <c:showCatName val="0"/>
          <c:showSerName val="0"/>
          <c:showPercent val="0"/>
          <c:showBubbleSize val="0"/>
        </c:dLbls>
        <c:marker val="1"/>
        <c:smooth val="0"/>
        <c:axId val="94930816"/>
        <c:axId val="94932352"/>
      </c:lineChart>
      <c:catAx>
        <c:axId val="94930816"/>
        <c:scaling>
          <c:orientation val="minMax"/>
        </c:scaling>
        <c:delete val="0"/>
        <c:axPos val="b"/>
        <c:numFmt formatCode="General" sourceLinked="1"/>
        <c:majorTickMark val="in"/>
        <c:minorTickMark val="none"/>
        <c:tickLblPos val="nextTo"/>
        <c:spPr>
          <a:ln w="12700">
            <a:solidFill>
              <a:schemeClr val="tx1"/>
            </a:solidFill>
          </a:ln>
        </c:spPr>
        <c:crossAx val="94932352"/>
        <c:crosses val="autoZero"/>
        <c:auto val="1"/>
        <c:lblAlgn val="ctr"/>
        <c:lblOffset val="100"/>
        <c:noMultiLvlLbl val="0"/>
      </c:catAx>
      <c:valAx>
        <c:axId val="94932352"/>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94930816"/>
        <c:crosses val="autoZero"/>
        <c:crossBetween val="between"/>
      </c:valAx>
    </c:plotArea>
    <c:legend>
      <c:legendPos val="r"/>
      <c:legendEntry>
        <c:idx val="4"/>
        <c:delete val="1"/>
      </c:legendEntry>
      <c:layout>
        <c:manualLayout>
          <c:xMode val="edge"/>
          <c:yMode val="edge"/>
          <c:x val="0.8374179824561403"/>
          <c:y val="0.31042027777777775"/>
          <c:w val="0.16097383040935673"/>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事業費　</a:t>
            </a:r>
            <a:r>
              <a:rPr lang="en-US" altLang="ja-JP" sz="1400"/>
              <a:t>【</a:t>
            </a:r>
            <a:r>
              <a:rPr lang="ja-JP" altLang="en-US" sz="1400"/>
              <a:t>補助無</a:t>
            </a:r>
            <a:r>
              <a:rPr lang="en-US" altLang="ja-JP" sz="1400"/>
              <a:t>】</a:t>
            </a:r>
            <a:endParaRPr lang="ja-JP" sz="1400"/>
          </a:p>
        </c:rich>
      </c:tx>
      <c:layout/>
      <c:overlay val="0"/>
    </c:title>
    <c:autoTitleDeleted val="0"/>
    <c:plotArea>
      <c:layout>
        <c:manualLayout>
          <c:layoutTarget val="inner"/>
          <c:xMode val="edge"/>
          <c:yMode val="edge"/>
          <c:x val="0.10885040453106644"/>
          <c:y val="0.13492062625407786"/>
          <c:w val="0.7346773417039687"/>
          <c:h val="0.76875308827343336"/>
        </c:manualLayout>
      </c:layout>
      <c:barChart>
        <c:barDir val="col"/>
        <c:grouping val="stacked"/>
        <c:varyColors val="0"/>
        <c:ser>
          <c:idx val="0"/>
          <c:order val="0"/>
          <c:tx>
            <c:strRef>
              <c:f>⑥算定結果!$AO$6:$AO$7</c:f>
              <c:strCache>
                <c:ptCount val="1"/>
                <c:pt idx="0">
                  <c:v>建設費</c:v>
                </c:pt>
              </c:strCache>
            </c:strRef>
          </c:tx>
          <c:spPr>
            <a:solidFill>
              <a:srgbClr val="FF0000"/>
            </a:solidFill>
            <a:ln>
              <a:solidFill>
                <a:schemeClr val="tx1"/>
              </a:solidFill>
            </a:ln>
          </c:spPr>
          <c:invertIfNegative val="0"/>
          <c:dLbls>
            <c:spPr>
              <a:solidFill>
                <a:schemeClr val="accent2">
                  <a:lumMod val="20000"/>
                  <a:lumOff val="80000"/>
                </a:schemeClr>
              </a:solidFill>
              <a:ln>
                <a:solidFill>
                  <a:srgbClr val="FF0000"/>
                </a:solidFill>
              </a:ln>
            </c:spPr>
            <c:txPr>
              <a:bodyPr/>
              <a:lstStyle/>
              <a:p>
                <a:pPr>
                  <a:defRPr>
                    <a:solidFill>
                      <a:srgbClr val="FF000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⑥算定結果!$AQ$6:$AR$6</c:f>
              <c:numCache>
                <c:formatCode>#,##0_);[Red]\(#,##0\)</c:formatCode>
                <c:ptCount val="2"/>
                <c:pt idx="0">
                  <c:v>0</c:v>
                </c:pt>
                <c:pt idx="1">
                  <c:v>0</c:v>
                </c:pt>
              </c:numCache>
            </c:numRef>
          </c:val>
        </c:ser>
        <c:ser>
          <c:idx val="1"/>
          <c:order val="1"/>
          <c:tx>
            <c:strRef>
              <c:f>⑥算定結果!$AO$8</c:f>
              <c:strCache>
                <c:ptCount val="1"/>
                <c:pt idx="0">
                  <c:v>維持管理費</c:v>
                </c:pt>
              </c:strCache>
            </c:strRef>
          </c:tx>
          <c:spPr>
            <a:solidFill>
              <a:srgbClr val="92D050"/>
            </a:solidFill>
            <a:ln>
              <a:solidFill>
                <a:schemeClr val="tx1"/>
              </a:solidFill>
            </a:ln>
          </c:spPr>
          <c:invertIfNegative val="0"/>
          <c:dLbls>
            <c:spPr>
              <a:solidFill>
                <a:schemeClr val="accent3">
                  <a:lumMod val="20000"/>
                  <a:lumOff val="80000"/>
                </a:schemeClr>
              </a:solidFill>
              <a:ln>
                <a:solidFill>
                  <a:srgbClr val="00B050"/>
                </a:solidFill>
              </a:ln>
            </c:spPr>
            <c:txPr>
              <a:bodyPr/>
              <a:lstStyle/>
              <a:p>
                <a:pPr>
                  <a:defRPr>
                    <a:solidFill>
                      <a:srgbClr val="00B05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⑥算定結果!$AQ$8:$AR$8</c:f>
              <c:numCache>
                <c:formatCode>#,##0_);[Red]\(#,##0\)</c:formatCode>
                <c:ptCount val="2"/>
                <c:pt idx="0">
                  <c:v>0</c:v>
                </c:pt>
                <c:pt idx="1">
                  <c:v>0</c:v>
                </c:pt>
              </c:numCache>
            </c:numRef>
          </c:val>
        </c:ser>
        <c:ser>
          <c:idx val="3"/>
          <c:order val="2"/>
          <c:tx>
            <c:strRef>
              <c:f>⑥算定結果!$AO$9:$AP$9</c:f>
              <c:strCache>
                <c:ptCount val="1"/>
                <c:pt idx="0">
                  <c:v>収集運搬費</c:v>
                </c:pt>
              </c:strCache>
            </c:strRef>
          </c:tx>
          <c:spPr>
            <a:solidFill>
              <a:srgbClr val="00B0F0"/>
            </a:solidFill>
            <a:ln>
              <a:solidFill>
                <a:schemeClr val="tx1"/>
              </a:solidFill>
            </a:ln>
          </c:spPr>
          <c:invertIfNegative val="0"/>
          <c:dLbls>
            <c:spPr>
              <a:solidFill>
                <a:schemeClr val="accent5">
                  <a:lumMod val="20000"/>
                  <a:lumOff val="80000"/>
                </a:schemeClr>
              </a:solidFill>
              <a:ln>
                <a:solidFill>
                  <a:srgbClr val="0070C0"/>
                </a:solidFill>
              </a:ln>
            </c:spPr>
            <c:txPr>
              <a:bodyPr/>
              <a:lstStyle/>
              <a:p>
                <a:pPr>
                  <a:defRPr>
                    <a:solidFill>
                      <a:srgbClr val="00B0F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⑥算定結果!$AQ$9:$AR$9</c:f>
              <c:numCache>
                <c:formatCode>#,##0_);[Red]\(#,##0\)</c:formatCode>
                <c:ptCount val="2"/>
                <c:pt idx="0">
                  <c:v>0</c:v>
                </c:pt>
                <c:pt idx="1">
                  <c:v>0</c:v>
                </c:pt>
              </c:numCache>
            </c:numRef>
          </c:val>
        </c:ser>
        <c:ser>
          <c:idx val="2"/>
          <c:order val="3"/>
          <c:tx>
            <c:strRef>
              <c:f>⑥算定結果!$AO$10</c:f>
              <c:strCache>
                <c:ptCount val="1"/>
                <c:pt idx="0">
                  <c:v>処分費</c:v>
                </c:pt>
              </c:strCache>
            </c:strRef>
          </c:tx>
          <c:spPr>
            <a:solidFill>
              <a:srgbClr val="7030A0"/>
            </a:solidFill>
            <a:ln>
              <a:solidFill>
                <a:schemeClr val="tx1"/>
              </a:solidFill>
            </a:ln>
          </c:spPr>
          <c:invertIfNegative val="0"/>
          <c:dLbls>
            <c:spPr>
              <a:solidFill>
                <a:schemeClr val="accent4">
                  <a:lumMod val="20000"/>
                  <a:lumOff val="80000"/>
                </a:schemeClr>
              </a:solidFill>
              <a:ln>
                <a:solidFill>
                  <a:srgbClr val="7030A0"/>
                </a:solidFill>
              </a:ln>
            </c:spPr>
            <c:txPr>
              <a:bodyPr/>
              <a:lstStyle/>
              <a:p>
                <a:pPr>
                  <a:defRPr>
                    <a:solidFill>
                      <a:srgbClr val="7030A0"/>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⑥算定結果!$AQ$10:$AR$10</c:f>
              <c:numCache>
                <c:formatCode>#,##0_);[Red]\(#,##0\)</c:formatCode>
                <c:ptCount val="2"/>
                <c:pt idx="0">
                  <c:v>0</c:v>
                </c:pt>
                <c:pt idx="1">
                  <c:v>0</c:v>
                </c:pt>
              </c:numCache>
            </c:numRef>
          </c:val>
        </c:ser>
        <c:dLbls>
          <c:showLegendKey val="0"/>
          <c:showVal val="1"/>
          <c:showCatName val="0"/>
          <c:showSerName val="0"/>
          <c:showPercent val="0"/>
          <c:showBubbleSize val="0"/>
        </c:dLbls>
        <c:gapWidth val="150"/>
        <c:overlap val="100"/>
        <c:axId val="95217920"/>
        <c:axId val="94973952"/>
      </c:barChart>
      <c:lineChart>
        <c:grouping val="standard"/>
        <c:varyColors val="0"/>
        <c:ser>
          <c:idx val="4"/>
          <c:order val="4"/>
          <c:tx>
            <c:v>合計値</c:v>
          </c:tx>
          <c:spPr>
            <a:ln>
              <a:noFill/>
            </a:ln>
          </c:spPr>
          <c:marker>
            <c:symbol val="none"/>
          </c:marker>
          <c:dLbls>
            <c:dLbl>
              <c:idx val="0"/>
              <c:layout>
                <c:manualLayout>
                  <c:x val="3.5734226689000601E-2"/>
                  <c:y val="-1.7638888888888867E-2"/>
                </c:manualLayout>
              </c:layout>
              <c:showLegendKey val="0"/>
              <c:showVal val="1"/>
              <c:showCatName val="0"/>
              <c:showSerName val="0"/>
              <c:showPercent val="0"/>
              <c:showBubbleSize val="0"/>
            </c:dLbl>
            <c:dLbl>
              <c:idx val="1"/>
              <c:layout>
                <c:manualLayout>
                  <c:x val="3.7214327485380116E-2"/>
                  <c:y val="-1.6756944444444446E-2"/>
                </c:manualLayout>
              </c:layout>
              <c:showLegendKey val="0"/>
              <c:showVal val="1"/>
              <c:showCatName val="0"/>
              <c:showSerName val="0"/>
              <c:showPercent val="0"/>
              <c:showBubbleSize val="0"/>
            </c:dLbl>
            <c:dLbl>
              <c:idx val="2"/>
              <c:layout>
                <c:manualLayout>
                  <c:x val="3.350083752093802E-2"/>
                  <c:y val="-1.7638888888888888E-2"/>
                </c:manualLayout>
              </c:layout>
              <c:showLegendKey val="0"/>
              <c:showVal val="1"/>
              <c:showCatName val="0"/>
              <c:showSerName val="0"/>
              <c:showPercent val="0"/>
              <c:showBubbleSize val="0"/>
            </c:dLbl>
            <c:spPr>
              <a:solidFill>
                <a:srgbClr val="FF66CC"/>
              </a:solidFill>
              <a:ln>
                <a:solidFill>
                  <a:schemeClr val="tx1"/>
                </a:solidFill>
              </a:ln>
            </c:spPr>
            <c:txPr>
              <a:bodyPr/>
              <a:lstStyle/>
              <a:p>
                <a:pPr>
                  <a:defRPr sz="1200">
                    <a:solidFill>
                      <a:schemeClr val="tx1"/>
                    </a:solidFill>
                  </a:defRPr>
                </a:pPr>
                <a:endParaRPr lang="ja-JP"/>
              </a:p>
            </c:txPr>
            <c:showLegendKey val="0"/>
            <c:showVal val="1"/>
            <c:showCatName val="0"/>
            <c:showSerName val="0"/>
            <c:showPercent val="0"/>
            <c:showBubbleSize val="0"/>
            <c:showLeaderLines val="0"/>
          </c:dLbls>
          <c:cat>
            <c:strRef>
              <c:f>⑥算定結果!$AQ$5:$AR$5</c:f>
              <c:strCache>
                <c:ptCount val="2"/>
                <c:pt idx="0">
                  <c:v>既存処理体系</c:v>
                </c:pt>
                <c:pt idx="1">
                  <c:v>いしかわモデル導入</c:v>
                </c:pt>
              </c:strCache>
            </c:strRef>
          </c:cat>
          <c:val>
            <c:numRef>
              <c:f>⑥算定結果!$AQ$11:$AR$11</c:f>
              <c:numCache>
                <c:formatCode>#,##0_);[Red]\(#,##0\)</c:formatCode>
                <c:ptCount val="2"/>
                <c:pt idx="0">
                  <c:v>0</c:v>
                </c:pt>
                <c:pt idx="1">
                  <c:v>0</c:v>
                </c:pt>
              </c:numCache>
            </c:numRef>
          </c:val>
          <c:smooth val="0"/>
        </c:ser>
        <c:dLbls>
          <c:showLegendKey val="0"/>
          <c:showVal val="0"/>
          <c:showCatName val="0"/>
          <c:showSerName val="0"/>
          <c:showPercent val="0"/>
          <c:showBubbleSize val="0"/>
        </c:dLbls>
        <c:marker val="1"/>
        <c:smooth val="0"/>
        <c:axId val="95217920"/>
        <c:axId val="94973952"/>
      </c:lineChart>
      <c:catAx>
        <c:axId val="95217920"/>
        <c:scaling>
          <c:orientation val="minMax"/>
        </c:scaling>
        <c:delete val="0"/>
        <c:axPos val="b"/>
        <c:numFmt formatCode="General" sourceLinked="1"/>
        <c:majorTickMark val="in"/>
        <c:minorTickMark val="none"/>
        <c:tickLblPos val="nextTo"/>
        <c:spPr>
          <a:ln w="12700">
            <a:solidFill>
              <a:schemeClr val="tx1"/>
            </a:solidFill>
          </a:ln>
        </c:spPr>
        <c:crossAx val="94973952"/>
        <c:crosses val="autoZero"/>
        <c:auto val="1"/>
        <c:lblAlgn val="ctr"/>
        <c:lblOffset val="100"/>
        <c:noMultiLvlLbl val="0"/>
      </c:catAx>
      <c:valAx>
        <c:axId val="94973952"/>
        <c:scaling>
          <c:orientation val="minMax"/>
        </c:scaling>
        <c:delete val="0"/>
        <c:axPos val="l"/>
        <c:majorGridlines/>
        <c:title>
          <c:tx>
            <c:rich>
              <a:bodyPr rot="0" vert="wordArtVertRtl"/>
              <a:lstStyle/>
              <a:p>
                <a:pPr>
                  <a:defRPr/>
                </a:pPr>
                <a:r>
                  <a:rPr lang="ja-JP"/>
                  <a:t>事業費（百万円</a:t>
                </a:r>
                <a:r>
                  <a:rPr lang="ja-JP" altLang="en-US"/>
                  <a:t>／年</a:t>
                </a:r>
                <a:r>
                  <a:rPr lang="ja-JP"/>
                  <a:t>）</a:t>
                </a:r>
              </a:p>
            </c:rich>
          </c:tx>
          <c:layout>
            <c:manualLayout>
              <c:xMode val="edge"/>
              <c:yMode val="edge"/>
              <c:x val="0"/>
              <c:y val="0.32948465924518056"/>
            </c:manualLayout>
          </c:layout>
          <c:overlay val="0"/>
        </c:title>
        <c:numFmt formatCode="#,##0_);[Red]\(#,##0\)" sourceLinked="1"/>
        <c:majorTickMark val="in"/>
        <c:minorTickMark val="none"/>
        <c:tickLblPos val="nextTo"/>
        <c:spPr>
          <a:ln w="12700">
            <a:solidFill>
              <a:schemeClr val="tx1"/>
            </a:solidFill>
          </a:ln>
        </c:spPr>
        <c:crossAx val="95217920"/>
        <c:crosses val="autoZero"/>
        <c:crossBetween val="between"/>
      </c:valAx>
    </c:plotArea>
    <c:legend>
      <c:legendPos val="r"/>
      <c:legendEntry>
        <c:idx val="4"/>
        <c:delete val="1"/>
      </c:legendEntry>
      <c:layout>
        <c:manualLayout>
          <c:xMode val="edge"/>
          <c:yMode val="edge"/>
          <c:x val="0.83960847953216378"/>
          <c:y val="0.32416666666666666"/>
          <c:w val="0.15821213450292398"/>
          <c:h val="0.50481770833333328"/>
        </c:manualLayout>
      </c:layout>
      <c:overlay val="0"/>
    </c:legend>
    <c:plotVisOnly val="1"/>
    <c:dispBlanksAs val="gap"/>
    <c:showDLblsOverMax val="0"/>
  </c:chart>
  <c:txPr>
    <a:bodyPr/>
    <a:lstStyle/>
    <a:p>
      <a:pPr>
        <a:defRPr sz="11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41</xdr:col>
      <xdr:colOff>134092</xdr:colOff>
      <xdr:row>72</xdr:row>
      <xdr:rowOff>166869</xdr:rowOff>
    </xdr:from>
    <xdr:to>
      <xdr:col>63</xdr:col>
      <xdr:colOff>90856</xdr:colOff>
      <xdr:row>95</xdr:row>
      <xdr:rowOff>703</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166473</xdr:colOff>
      <xdr:row>72</xdr:row>
      <xdr:rowOff>161621</xdr:rowOff>
    </xdr:from>
    <xdr:to>
      <xdr:col>40</xdr:col>
      <xdr:colOff>114579</xdr:colOff>
      <xdr:row>94</xdr:row>
      <xdr:rowOff>177150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63</xdr:col>
      <xdr:colOff>253334</xdr:colOff>
      <xdr:row>73</xdr:row>
      <xdr:rowOff>15484</xdr:rowOff>
    </xdr:from>
    <xdr:to>
      <xdr:col>82</xdr:col>
      <xdr:colOff>160885</xdr:colOff>
      <xdr:row>86</xdr:row>
      <xdr:rowOff>11206</xdr:rowOff>
    </xdr:to>
    <xdr:sp macro="" textlink="">
      <xdr:nvSpPr>
        <xdr:cNvPr id="4" name="テキスト ボックス 3"/>
        <xdr:cNvSpPr txBox="1"/>
      </xdr:nvSpPr>
      <xdr:spPr>
        <a:xfrm>
          <a:off x="17655509" y="14160109"/>
          <a:ext cx="5155826" cy="2348397"/>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200"/>
            <a:t>※</a:t>
          </a:r>
          <a:r>
            <a:rPr kumimoji="1" lang="ja-JP" altLang="en-US" sz="1200"/>
            <a:t>事業費算定に関する注意事項</a:t>
          </a:r>
          <a:endParaRPr kumimoji="1" lang="en-US" altLang="ja-JP" sz="1200"/>
        </a:p>
        <a:p>
          <a:r>
            <a:rPr kumimoji="1" lang="ja-JP" altLang="en-US" sz="1200"/>
            <a:t>・経済性の算定範囲は濃縮設備以降を対象とする。</a:t>
          </a:r>
          <a:endParaRPr kumimoji="1" lang="en-US" altLang="ja-JP" sz="1200"/>
        </a:p>
        <a:p>
          <a:r>
            <a:rPr kumimoji="1" lang="ja-JP" altLang="en-US" sz="1200"/>
            <a:t>・各設備の建設費（更新費）・維持管理費は費用関数から算定する。</a:t>
          </a:r>
          <a:endParaRPr kumimoji="1" lang="en-US" altLang="ja-JP" sz="1200"/>
        </a:p>
        <a:p>
          <a:r>
            <a:rPr kumimoji="1" lang="ja-JP" altLang="en-US" sz="1200"/>
            <a:t>・下水道施設の建設費に係る補助率は</a:t>
          </a:r>
          <a:r>
            <a:rPr kumimoji="1" lang="en-US" altLang="ja-JP" sz="1200"/>
            <a:t>0.55</a:t>
          </a:r>
          <a:r>
            <a:rPr kumimoji="1" lang="ja-JP" altLang="en-US" sz="1200"/>
            <a:t>、ごみ処理施設の建設費に係る補助率は</a:t>
          </a:r>
          <a:r>
            <a:rPr kumimoji="1" lang="en-US" altLang="ja-JP" sz="1200"/>
            <a:t>0.33</a:t>
          </a:r>
          <a:r>
            <a:rPr kumimoji="1" lang="ja-JP" altLang="en-US" sz="1200"/>
            <a:t>と設定する。</a:t>
          </a:r>
          <a:endParaRPr kumimoji="1" lang="en-US" altLang="ja-JP" sz="1200"/>
        </a:p>
        <a:p>
          <a:r>
            <a:rPr kumimoji="1" lang="ja-JP" altLang="en-US" sz="1200"/>
            <a:t>・生ごみの建設費は、下水道施設受入によるごみ処理施設の規模削減分を計上する。</a:t>
          </a:r>
          <a:endParaRPr kumimoji="1" lang="en-US" altLang="ja-JP" sz="1200"/>
        </a:p>
      </xdr:txBody>
    </xdr:sp>
    <xdr:clientData/>
  </xdr:twoCellAnchor>
  <xdr:twoCellAnchor>
    <xdr:from>
      <xdr:col>18</xdr:col>
      <xdr:colOff>210207</xdr:colOff>
      <xdr:row>5</xdr:row>
      <xdr:rowOff>99391</xdr:rowOff>
    </xdr:from>
    <xdr:to>
      <xdr:col>49</xdr:col>
      <xdr:colOff>16565</xdr:colOff>
      <xdr:row>5</xdr:row>
      <xdr:rowOff>103390</xdr:rowOff>
    </xdr:to>
    <xdr:cxnSp macro="">
      <xdr:nvCxnSpPr>
        <xdr:cNvPr id="5" name="直線コネクタ 4"/>
        <xdr:cNvCxnSpPr/>
      </xdr:nvCxnSpPr>
      <xdr:spPr>
        <a:xfrm flipV="1">
          <a:off x="5182257" y="1004266"/>
          <a:ext cx="8369333" cy="399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453214</xdr:colOff>
      <xdr:row>19</xdr:row>
      <xdr:rowOff>112166</xdr:rowOff>
    </xdr:from>
    <xdr:to>
      <xdr:col>8</xdr:col>
      <xdr:colOff>347249</xdr:colOff>
      <xdr:row>21</xdr:row>
      <xdr:rowOff>4195</xdr:rowOff>
    </xdr:to>
    <xdr:sp macro="" textlink="">
      <xdr:nvSpPr>
        <xdr:cNvPr id="88" name="正方形/長方形 87"/>
        <xdr:cNvSpPr/>
      </xdr:nvSpPr>
      <xdr:spPr>
        <a:xfrm>
          <a:off x="4163823" y="3416927"/>
          <a:ext cx="1268948" cy="23989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67233</xdr:colOff>
      <xdr:row>3</xdr:row>
      <xdr:rowOff>79377</xdr:rowOff>
    </xdr:from>
    <xdr:to>
      <xdr:col>16</xdr:col>
      <xdr:colOff>433851</xdr:colOff>
      <xdr:row>49</xdr:row>
      <xdr:rowOff>95658</xdr:rowOff>
    </xdr:to>
    <xdr:sp macro="" textlink="">
      <xdr:nvSpPr>
        <xdr:cNvPr id="93" name="テキスト ボックス 218"/>
        <xdr:cNvSpPr txBox="1"/>
      </xdr:nvSpPr>
      <xdr:spPr>
        <a:xfrm>
          <a:off x="347380" y="583642"/>
          <a:ext cx="10620000" cy="7748340"/>
        </a:xfrm>
        <a:prstGeom prst="rect">
          <a:avLst/>
        </a:prstGeom>
        <a:noFill/>
        <a:ln w="57150"/>
      </xdr:spPr>
      <xdr:style>
        <a:lnRef idx="2">
          <a:schemeClr val="dk1"/>
        </a:lnRef>
        <a:fillRef idx="1">
          <a:schemeClr val="lt1"/>
        </a:fillRef>
        <a:effectRef idx="0">
          <a:schemeClr val="dk1"/>
        </a:effectRef>
        <a:fontRef idx="minor">
          <a:schemeClr val="dk1"/>
        </a:fontRef>
      </xdr:style>
      <xdr:txBody>
        <a:bodyPr wrap="square" rtlCol="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endParaRPr kumimoji="1" lang="ja-JP" altLang="en-US"/>
        </a:p>
      </xdr:txBody>
    </xdr:sp>
    <xdr:clientData/>
  </xdr:twoCellAnchor>
  <xdr:twoCellAnchor>
    <xdr:from>
      <xdr:col>12</xdr:col>
      <xdr:colOff>351224</xdr:colOff>
      <xdr:row>26</xdr:row>
      <xdr:rowOff>113085</xdr:rowOff>
    </xdr:from>
    <xdr:to>
      <xdr:col>12</xdr:col>
      <xdr:colOff>357647</xdr:colOff>
      <xdr:row>30</xdr:row>
      <xdr:rowOff>10255</xdr:rowOff>
    </xdr:to>
    <xdr:cxnSp macro="">
      <xdr:nvCxnSpPr>
        <xdr:cNvPr id="96" name="直線矢印コネクタ 95"/>
        <xdr:cNvCxnSpPr>
          <a:stCxn id="111" idx="2"/>
          <a:endCxn id="162" idx="0"/>
        </xdr:cNvCxnSpPr>
      </xdr:nvCxnSpPr>
      <xdr:spPr>
        <a:xfrm flipH="1">
          <a:off x="8150518" y="4483379"/>
          <a:ext cx="6423" cy="569523"/>
        </a:xfrm>
        <a:prstGeom prst="straightConnector1">
          <a:avLst/>
        </a:prstGeom>
        <a:ln w="28575" cmpd="thickThin">
          <a:solidFill>
            <a:srgbClr val="002060"/>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351225</xdr:colOff>
      <xdr:row>12</xdr:row>
      <xdr:rowOff>33357</xdr:rowOff>
    </xdr:from>
    <xdr:to>
      <xdr:col>12</xdr:col>
      <xdr:colOff>351226</xdr:colOff>
      <xdr:row>17</xdr:row>
      <xdr:rowOff>133417</xdr:rowOff>
    </xdr:to>
    <xdr:cxnSp macro="">
      <xdr:nvCxnSpPr>
        <xdr:cNvPr id="97" name="直線矢印コネクタ 96"/>
        <xdr:cNvCxnSpPr>
          <a:stCxn id="159" idx="0"/>
          <a:endCxn id="102" idx="2"/>
        </xdr:cNvCxnSpPr>
      </xdr:nvCxnSpPr>
      <xdr:spPr>
        <a:xfrm flipH="1" flipV="1">
          <a:off x="8150519" y="2050416"/>
          <a:ext cx="1" cy="940501"/>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658993</xdr:colOff>
      <xdr:row>19</xdr:row>
      <xdr:rowOff>38075</xdr:rowOff>
    </xdr:from>
    <xdr:to>
      <xdr:col>12</xdr:col>
      <xdr:colOff>357647</xdr:colOff>
      <xdr:row>23</xdr:row>
      <xdr:rowOff>143381</xdr:rowOff>
    </xdr:to>
    <xdr:cxnSp macro="">
      <xdr:nvCxnSpPr>
        <xdr:cNvPr id="98" name="直線矢印コネクタ 1030"/>
        <xdr:cNvCxnSpPr>
          <a:stCxn id="158" idx="3"/>
          <a:endCxn id="111" idx="0"/>
        </xdr:cNvCxnSpPr>
      </xdr:nvCxnSpPr>
      <xdr:spPr>
        <a:xfrm>
          <a:off x="7091169" y="3231751"/>
          <a:ext cx="1065772" cy="777659"/>
        </a:xfrm>
        <a:prstGeom prst="bentConnector2">
          <a:avLst/>
        </a:prstGeom>
        <a:ln w="28575" cmpd="thickThin">
          <a:solidFill>
            <a:schemeClr val="accent2"/>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592375</xdr:colOff>
      <xdr:row>45</xdr:row>
      <xdr:rowOff>120243</xdr:rowOff>
    </xdr:from>
    <xdr:to>
      <xdr:col>4</xdr:col>
      <xdr:colOff>458401</xdr:colOff>
      <xdr:row>47</xdr:row>
      <xdr:rowOff>73343</xdr:rowOff>
    </xdr:to>
    <xdr:sp macro="" textlink="">
      <xdr:nvSpPr>
        <xdr:cNvPr id="99" name="正方形/長方形 98"/>
        <xdr:cNvSpPr/>
      </xdr:nvSpPr>
      <xdr:spPr>
        <a:xfrm>
          <a:off x="872522" y="7684214"/>
          <a:ext cx="1916703" cy="289276"/>
        </a:xfrm>
        <a:prstGeom prst="rect">
          <a:avLst/>
        </a:prstGeom>
        <a:ln/>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その他バイオマス</a:t>
          </a:r>
        </a:p>
      </xdr:txBody>
    </xdr:sp>
    <xdr:clientData/>
  </xdr:twoCellAnchor>
  <xdr:twoCellAnchor>
    <xdr:from>
      <xdr:col>1</xdr:col>
      <xdr:colOff>602361</xdr:colOff>
      <xdr:row>40</xdr:row>
      <xdr:rowOff>117528</xdr:rowOff>
    </xdr:from>
    <xdr:to>
      <xdr:col>4</xdr:col>
      <xdr:colOff>395570</xdr:colOff>
      <xdr:row>44</xdr:row>
      <xdr:rowOff>23727</xdr:rowOff>
    </xdr:to>
    <xdr:grpSp>
      <xdr:nvGrpSpPr>
        <xdr:cNvPr id="100" name="グループ化 99"/>
        <xdr:cNvGrpSpPr/>
      </xdr:nvGrpSpPr>
      <xdr:grpSpPr>
        <a:xfrm>
          <a:off x="878586" y="6975528"/>
          <a:ext cx="1850609" cy="591999"/>
          <a:chOff x="199247" y="6057328"/>
          <a:chExt cx="1836000" cy="647840"/>
        </a:xfrm>
      </xdr:grpSpPr>
      <xdr:sp macro="" textlink="">
        <xdr:nvSpPr>
          <xdr:cNvPr id="168" name="正方形/長方形 167"/>
          <xdr:cNvSpPr/>
        </xdr:nvSpPr>
        <xdr:spPr>
          <a:xfrm>
            <a:off x="199247" y="6381168"/>
            <a:ext cx="1836000" cy="324000"/>
          </a:xfrm>
          <a:prstGeom prst="rect">
            <a:avLst/>
          </a:prstGeom>
          <a:ln/>
        </xdr:spPr>
        <xdr:style>
          <a:lnRef idx="2">
            <a:schemeClr val="accent4"/>
          </a:lnRef>
          <a:fillRef idx="1">
            <a:schemeClr val="lt1"/>
          </a:fillRef>
          <a:effectRef idx="0">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生ごみ</a:t>
            </a:r>
          </a:p>
        </xdr:txBody>
      </xdr:sp>
      <xdr:sp macro="" textlink="">
        <xdr:nvSpPr>
          <xdr:cNvPr id="169" name="正方形/長方形 168"/>
          <xdr:cNvSpPr/>
        </xdr:nvSpPr>
        <xdr:spPr>
          <a:xfrm>
            <a:off x="199247" y="6057328"/>
            <a:ext cx="1836000" cy="324000"/>
          </a:xfrm>
          <a:prstGeom prst="rect">
            <a:avLst/>
          </a:prstGeom>
          <a:ln/>
        </xdr:spPr>
        <xdr:style>
          <a:lnRef idx="1">
            <a:schemeClr val="accent4"/>
          </a:lnRef>
          <a:fillRef idx="2">
            <a:schemeClr val="accent4"/>
          </a:fillRef>
          <a:effectRef idx="1">
            <a:schemeClr val="accent4"/>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ごみ処理施設</a:t>
            </a:r>
          </a:p>
        </xdr:txBody>
      </xdr:sp>
    </xdr:grpSp>
    <xdr:clientData/>
  </xdr:twoCellAnchor>
  <xdr:twoCellAnchor>
    <xdr:from>
      <xdr:col>1</xdr:col>
      <xdr:colOff>592375</xdr:colOff>
      <xdr:row>37</xdr:row>
      <xdr:rowOff>122986</xdr:rowOff>
    </xdr:from>
    <xdr:to>
      <xdr:col>4</xdr:col>
      <xdr:colOff>385584</xdr:colOff>
      <xdr:row>39</xdr:row>
      <xdr:rowOff>76086</xdr:rowOff>
    </xdr:to>
    <xdr:sp macro="" textlink="">
      <xdr:nvSpPr>
        <xdr:cNvPr id="101" name="正方形/長方形 100"/>
        <xdr:cNvSpPr/>
      </xdr:nvSpPr>
      <xdr:spPr>
        <a:xfrm>
          <a:off x="872522" y="6342251"/>
          <a:ext cx="1843886" cy="289276"/>
        </a:xfrm>
        <a:prstGeom prst="rect">
          <a:avLst/>
        </a:prstGeom>
        <a:ln/>
      </xdr:spPr>
      <xdr:style>
        <a:lnRef idx="2">
          <a:schemeClr val="accent3"/>
        </a:lnRef>
        <a:fillRef idx="1">
          <a:schemeClr val="lt1"/>
        </a:fillRef>
        <a:effectRef idx="0">
          <a:schemeClr val="accent3"/>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し尿等</a:t>
          </a:r>
        </a:p>
      </xdr:txBody>
    </xdr:sp>
    <xdr:clientData/>
  </xdr:twoCellAnchor>
  <xdr:twoCellAnchor>
    <xdr:from>
      <xdr:col>11</xdr:col>
      <xdr:colOff>620761</xdr:colOff>
      <xdr:row>9</xdr:row>
      <xdr:rowOff>66770</xdr:rowOff>
    </xdr:from>
    <xdr:to>
      <xdr:col>13</xdr:col>
      <xdr:colOff>81688</xdr:colOff>
      <xdr:row>12</xdr:row>
      <xdr:rowOff>33357</xdr:rowOff>
    </xdr:to>
    <xdr:sp macro="" textlink="">
      <xdr:nvSpPr>
        <xdr:cNvPr id="102" name="正方形/長方形 101"/>
        <xdr:cNvSpPr/>
      </xdr:nvSpPr>
      <xdr:spPr>
        <a:xfrm>
          <a:off x="7736496" y="1579564"/>
          <a:ext cx="828045" cy="47085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ガス</a:t>
          </a:r>
          <a:endParaRPr kumimoji="1" lang="en-US" altLang="ja-JP" sz="1600">
            <a:solidFill>
              <a:srgbClr val="FF0000"/>
            </a:solidFill>
          </a:endParaRPr>
        </a:p>
        <a:p>
          <a:pPr algn="ctr"/>
          <a:r>
            <a:rPr kumimoji="1" lang="ja-JP" altLang="en-US" sz="1600">
              <a:solidFill>
                <a:srgbClr val="FF0000"/>
              </a:solidFill>
            </a:rPr>
            <a:t>ホルダ</a:t>
          </a:r>
        </a:p>
      </xdr:txBody>
    </xdr:sp>
    <xdr:clientData/>
  </xdr:twoCellAnchor>
  <xdr:twoCellAnchor>
    <xdr:from>
      <xdr:col>11</xdr:col>
      <xdr:colOff>620761</xdr:colOff>
      <xdr:row>13</xdr:row>
      <xdr:rowOff>88916</xdr:rowOff>
    </xdr:from>
    <xdr:to>
      <xdr:col>13</xdr:col>
      <xdr:colOff>81688</xdr:colOff>
      <xdr:row>16</xdr:row>
      <xdr:rowOff>55503</xdr:rowOff>
    </xdr:to>
    <xdr:sp macro="" textlink="">
      <xdr:nvSpPr>
        <xdr:cNvPr id="103" name="正方形/長方形 102"/>
        <xdr:cNvSpPr/>
      </xdr:nvSpPr>
      <xdr:spPr>
        <a:xfrm>
          <a:off x="7736496" y="2274063"/>
          <a:ext cx="828045" cy="470852"/>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脱硫</a:t>
          </a:r>
          <a:endParaRPr kumimoji="1" lang="en-US" altLang="ja-JP" sz="1600">
            <a:solidFill>
              <a:srgbClr val="FF0000"/>
            </a:solidFill>
          </a:endParaRPr>
        </a:p>
        <a:p>
          <a:pPr algn="ctr"/>
          <a:r>
            <a:rPr kumimoji="1" lang="ja-JP" altLang="en-US" sz="1600">
              <a:solidFill>
                <a:srgbClr val="FF0000"/>
              </a:solidFill>
            </a:rPr>
            <a:t>装置</a:t>
          </a:r>
        </a:p>
      </xdr:txBody>
    </xdr:sp>
    <xdr:clientData/>
  </xdr:twoCellAnchor>
  <xdr:twoCellAnchor>
    <xdr:from>
      <xdr:col>1</xdr:col>
      <xdr:colOff>279860</xdr:colOff>
      <xdr:row>4</xdr:row>
      <xdr:rowOff>2705</xdr:rowOff>
    </xdr:from>
    <xdr:to>
      <xdr:col>5</xdr:col>
      <xdr:colOff>40773</xdr:colOff>
      <xdr:row>48</xdr:row>
      <xdr:rowOff>87311</xdr:rowOff>
    </xdr:to>
    <xdr:grpSp>
      <xdr:nvGrpSpPr>
        <xdr:cNvPr id="104" name="グループ化 103"/>
        <xdr:cNvGrpSpPr/>
      </xdr:nvGrpSpPr>
      <xdr:grpSpPr>
        <a:xfrm>
          <a:off x="556085" y="688505"/>
          <a:ext cx="2504113" cy="7628406"/>
          <a:chOff x="-2484784" y="2306452"/>
          <a:chExt cx="2484222" cy="2525643"/>
        </a:xfrm>
      </xdr:grpSpPr>
      <xdr:sp macro="" textlink="">
        <xdr:nvSpPr>
          <xdr:cNvPr id="166" name="正方形/長方形 165"/>
          <xdr:cNvSpPr/>
        </xdr:nvSpPr>
        <xdr:spPr>
          <a:xfrm>
            <a:off x="-2484784" y="2428923"/>
            <a:ext cx="2484222" cy="2403172"/>
          </a:xfrm>
          <a:prstGeom prst="rect">
            <a:avLst/>
          </a:prstGeom>
          <a:noFill/>
          <a:ln w="38100"/>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a:solidFill>
                <a:schemeClr val="tx1"/>
              </a:solidFill>
            </a:endParaRPr>
          </a:p>
          <a:p>
            <a:pPr algn="ctr"/>
            <a:endParaRPr kumimoji="1" lang="ja-JP" altLang="en-US">
              <a:solidFill>
                <a:schemeClr val="tx1"/>
              </a:solidFill>
            </a:endParaRPr>
          </a:p>
        </xdr:txBody>
      </xdr:sp>
      <xdr:sp macro="" textlink="">
        <xdr:nvSpPr>
          <xdr:cNvPr id="167" name="正方形/長方形 166"/>
          <xdr:cNvSpPr/>
        </xdr:nvSpPr>
        <xdr:spPr>
          <a:xfrm>
            <a:off x="-2484784" y="2306452"/>
            <a:ext cx="2484222" cy="122471"/>
          </a:xfrm>
          <a:prstGeom prst="rect">
            <a:avLst/>
          </a:prstGeom>
          <a:ln w="38100"/>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000">
                <a:solidFill>
                  <a:schemeClr val="tx1"/>
                </a:solidFill>
              </a:rPr>
              <a:t>集約対象</a:t>
            </a:r>
          </a:p>
        </xdr:txBody>
      </xdr:sp>
    </xdr:grpSp>
    <xdr:clientData/>
  </xdr:twoCellAnchor>
  <xdr:twoCellAnchor>
    <xdr:from>
      <xdr:col>6</xdr:col>
      <xdr:colOff>117615</xdr:colOff>
      <xdr:row>3</xdr:row>
      <xdr:rowOff>114708</xdr:rowOff>
    </xdr:from>
    <xdr:to>
      <xdr:col>15</xdr:col>
      <xdr:colOff>545859</xdr:colOff>
      <xdr:row>35</xdr:row>
      <xdr:rowOff>13059</xdr:rowOff>
    </xdr:to>
    <xdr:grpSp>
      <xdr:nvGrpSpPr>
        <xdr:cNvPr id="105" name="グループ化 104"/>
        <xdr:cNvGrpSpPr/>
      </xdr:nvGrpSpPr>
      <xdr:grpSpPr>
        <a:xfrm>
          <a:off x="3822840" y="629058"/>
          <a:ext cx="6600444" cy="5384751"/>
          <a:chOff x="2771800" y="-512087"/>
          <a:chExt cx="6544858" cy="5237246"/>
        </a:xfrm>
      </xdr:grpSpPr>
      <xdr:sp macro="" textlink="">
        <xdr:nvSpPr>
          <xdr:cNvPr id="157" name="正方形/長方形 156"/>
          <xdr:cNvSpPr/>
        </xdr:nvSpPr>
        <xdr:spPr>
          <a:xfrm>
            <a:off x="3332084" y="2852952"/>
            <a:ext cx="1224381"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し尿</a:t>
            </a:r>
            <a:endParaRPr kumimoji="1" lang="en-US" altLang="ja-JP" sz="1600">
              <a:solidFill>
                <a:srgbClr val="FF0000"/>
              </a:solidFill>
            </a:endParaRPr>
          </a:p>
          <a:p>
            <a:pPr algn="ctr"/>
            <a:r>
              <a:rPr kumimoji="1" lang="ja-JP" altLang="en-US" sz="1600">
                <a:solidFill>
                  <a:srgbClr val="FF0000"/>
                </a:solidFill>
              </a:rPr>
              <a:t>前処理設備</a:t>
            </a:r>
          </a:p>
        </xdr:txBody>
      </xdr:sp>
      <xdr:sp macro="" textlink="">
        <xdr:nvSpPr>
          <xdr:cNvPr id="158" name="正方形/長方形 157"/>
          <xdr:cNvSpPr/>
        </xdr:nvSpPr>
        <xdr:spPr>
          <a:xfrm>
            <a:off x="5200452" y="1845865"/>
            <a:ext cx="827285"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FF0000"/>
                </a:solidFill>
              </a:rPr>
              <a:t>混合</a:t>
            </a:r>
            <a:endParaRPr lang="en-US" altLang="ja-JP" sz="1600">
              <a:solidFill>
                <a:srgbClr val="FF0000"/>
              </a:solidFill>
            </a:endParaRPr>
          </a:p>
          <a:p>
            <a:pPr algn="ctr"/>
            <a:r>
              <a:rPr lang="ja-JP" altLang="en-US" sz="1600">
                <a:solidFill>
                  <a:srgbClr val="FF0000"/>
                </a:solidFill>
              </a:rPr>
              <a:t>設備</a:t>
            </a:r>
            <a:endParaRPr kumimoji="1" lang="ja-JP" altLang="en-US" sz="1600">
              <a:solidFill>
                <a:srgbClr val="FF0000"/>
              </a:solidFill>
            </a:endParaRPr>
          </a:p>
        </xdr:txBody>
      </xdr:sp>
      <xdr:sp macro="" textlink="">
        <xdr:nvSpPr>
          <xdr:cNvPr id="159" name="正方形/長方形 158"/>
          <xdr:cNvSpPr/>
        </xdr:nvSpPr>
        <xdr:spPr>
          <a:xfrm>
            <a:off x="6670091" y="1839076"/>
            <a:ext cx="827285"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メタン</a:t>
            </a:r>
            <a:endParaRPr kumimoji="1" lang="en-US" altLang="ja-JP" sz="1600">
              <a:solidFill>
                <a:srgbClr val="FF0000"/>
              </a:solidFill>
            </a:endParaRPr>
          </a:p>
          <a:p>
            <a:pPr algn="ctr"/>
            <a:r>
              <a:rPr kumimoji="1" lang="ja-JP" altLang="en-US" sz="1600">
                <a:solidFill>
                  <a:srgbClr val="FF0000"/>
                </a:solidFill>
              </a:rPr>
              <a:t>発酵槽</a:t>
            </a:r>
          </a:p>
        </xdr:txBody>
      </xdr:sp>
      <xdr:sp macro="" textlink="">
        <xdr:nvSpPr>
          <xdr:cNvPr id="160" name="正方形/長方形 159"/>
          <xdr:cNvSpPr/>
        </xdr:nvSpPr>
        <xdr:spPr>
          <a:xfrm>
            <a:off x="3332083" y="3888153"/>
            <a:ext cx="1224381" cy="46800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生ごみ</a:t>
            </a:r>
            <a:endParaRPr kumimoji="1" lang="en-US" altLang="ja-JP" sz="1600">
              <a:solidFill>
                <a:srgbClr val="FF0000"/>
              </a:solidFill>
            </a:endParaRPr>
          </a:p>
          <a:p>
            <a:pPr algn="ctr"/>
            <a:r>
              <a:rPr kumimoji="1" lang="ja-JP" altLang="en-US" sz="1600">
                <a:solidFill>
                  <a:srgbClr val="FF0000"/>
                </a:solidFill>
              </a:rPr>
              <a:t>前処理設備</a:t>
            </a:r>
          </a:p>
        </xdr:txBody>
      </xdr:sp>
      <xdr:grpSp>
        <xdr:nvGrpSpPr>
          <xdr:cNvPr id="161" name="グループ化 160"/>
          <xdr:cNvGrpSpPr/>
        </xdr:nvGrpSpPr>
        <xdr:grpSpPr>
          <a:xfrm>
            <a:off x="2771800" y="-512087"/>
            <a:ext cx="6544858" cy="5237246"/>
            <a:chOff x="9180512" y="2876344"/>
            <a:chExt cx="6544858" cy="5237246"/>
          </a:xfrm>
        </xdr:grpSpPr>
        <xdr:sp macro="" textlink="">
          <xdr:nvSpPr>
            <xdr:cNvPr id="164" name="正方形/長方形 163"/>
            <xdr:cNvSpPr/>
          </xdr:nvSpPr>
          <xdr:spPr>
            <a:xfrm>
              <a:off x="9180512" y="2876344"/>
              <a:ext cx="6544858" cy="5237246"/>
            </a:xfrm>
            <a:prstGeom prst="rect">
              <a:avLst/>
            </a:prstGeom>
            <a:noFill/>
            <a:ln w="38100">
              <a:solidFill>
                <a:srgbClr val="00B050"/>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en-US" altLang="ja-JP">
                <a:solidFill>
                  <a:schemeClr val="tx1"/>
                </a:solidFill>
              </a:endParaRPr>
            </a:p>
            <a:p>
              <a:pPr algn="ctr"/>
              <a:endParaRPr kumimoji="1" lang="ja-JP" altLang="en-US">
                <a:solidFill>
                  <a:schemeClr val="tx1"/>
                </a:solidFill>
              </a:endParaRPr>
            </a:p>
          </xdr:txBody>
        </xdr:sp>
        <xdr:sp macro="" textlink="">
          <xdr:nvSpPr>
            <xdr:cNvPr id="165" name="正方形/長方形 164"/>
            <xdr:cNvSpPr/>
          </xdr:nvSpPr>
          <xdr:spPr>
            <a:xfrm>
              <a:off x="9196989" y="2931004"/>
              <a:ext cx="2484000" cy="360000"/>
            </a:xfrm>
            <a:prstGeom prst="rect">
              <a:avLst/>
            </a:prstGeom>
            <a:noFill/>
            <a:ln w="38100">
              <a:no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ja-JP" altLang="en-US" sz="2000">
                  <a:solidFill>
                    <a:schemeClr val="tx1"/>
                  </a:solidFill>
                </a:rPr>
                <a:t>拠点施設</a:t>
              </a:r>
            </a:p>
          </xdr:txBody>
        </xdr:sp>
      </xdr:grpSp>
      <xdr:sp macro="" textlink="">
        <xdr:nvSpPr>
          <xdr:cNvPr id="162" name="正方形/長方形 161"/>
          <xdr:cNvSpPr/>
        </xdr:nvSpPr>
        <xdr:spPr>
          <a:xfrm>
            <a:off x="6670090" y="3888153"/>
            <a:ext cx="827285" cy="468000"/>
          </a:xfrm>
          <a:prstGeom prst="rect">
            <a:avLst/>
          </a:prstGeom>
          <a:ln>
            <a:solidFill>
              <a:srgbClr val="FF0000"/>
            </a:solidFill>
            <a:prstDash val="dash"/>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FF0000"/>
                </a:solidFill>
              </a:rPr>
              <a:t>乾燥</a:t>
            </a:r>
            <a:endParaRPr lang="en-US" altLang="ja-JP" sz="1600">
              <a:solidFill>
                <a:srgbClr val="FF0000"/>
              </a:solidFill>
            </a:endParaRPr>
          </a:p>
          <a:p>
            <a:pPr algn="ctr"/>
            <a:r>
              <a:rPr lang="ja-JP" altLang="en-US" sz="1600">
                <a:solidFill>
                  <a:srgbClr val="FF0000"/>
                </a:solidFill>
              </a:rPr>
              <a:t>設備</a:t>
            </a:r>
            <a:endParaRPr kumimoji="1" lang="ja-JP" altLang="en-US" sz="1600">
              <a:solidFill>
                <a:srgbClr val="FF0000"/>
              </a:solidFill>
            </a:endParaRPr>
          </a:p>
        </xdr:txBody>
      </xdr:sp>
      <xdr:sp macro="" textlink="">
        <xdr:nvSpPr>
          <xdr:cNvPr id="163" name="正方形/長方形 162"/>
          <xdr:cNvSpPr/>
        </xdr:nvSpPr>
        <xdr:spPr>
          <a:xfrm>
            <a:off x="3089994" y="21694"/>
            <a:ext cx="1836000" cy="324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A</a:t>
            </a:r>
            <a:r>
              <a:rPr kumimoji="1" lang="ja-JP" altLang="en-US">
                <a:solidFill>
                  <a:schemeClr val="tx1"/>
                </a:solidFill>
              </a:rPr>
              <a:t>下水処理場</a:t>
            </a:r>
          </a:p>
        </xdr:txBody>
      </xdr:sp>
    </xdr:grpSp>
    <xdr:clientData/>
  </xdr:twoCellAnchor>
  <xdr:twoCellAnchor>
    <xdr:from>
      <xdr:col>1</xdr:col>
      <xdr:colOff>602361</xdr:colOff>
      <xdr:row>7</xdr:row>
      <xdr:rowOff>4231</xdr:rowOff>
    </xdr:from>
    <xdr:to>
      <xdr:col>4</xdr:col>
      <xdr:colOff>400856</xdr:colOff>
      <xdr:row>15</xdr:row>
      <xdr:rowOff>38412</xdr:rowOff>
    </xdr:to>
    <xdr:grpSp>
      <xdr:nvGrpSpPr>
        <xdr:cNvPr id="106" name="グループ化 105"/>
        <xdr:cNvGrpSpPr/>
      </xdr:nvGrpSpPr>
      <xdr:grpSpPr>
        <a:xfrm>
          <a:off x="878586" y="1204381"/>
          <a:ext cx="1855895" cy="1405781"/>
          <a:chOff x="267874" y="116664"/>
          <a:chExt cx="1841226" cy="1368152"/>
        </a:xfrm>
      </xdr:grpSpPr>
      <xdr:sp macro="" textlink="">
        <xdr:nvSpPr>
          <xdr:cNvPr id="152" name="正方形/長方形 151"/>
          <xdr:cNvSpPr/>
        </xdr:nvSpPr>
        <xdr:spPr>
          <a:xfrm>
            <a:off x="267874" y="116664"/>
            <a:ext cx="1836000" cy="288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B</a:t>
            </a:r>
            <a:r>
              <a:rPr kumimoji="1" lang="ja-JP" altLang="en-US">
                <a:solidFill>
                  <a:schemeClr val="tx1"/>
                </a:solidFill>
              </a:rPr>
              <a:t>下水処理場</a:t>
            </a:r>
          </a:p>
        </xdr:txBody>
      </xdr:sp>
      <xdr:sp macro="" textlink="">
        <xdr:nvSpPr>
          <xdr:cNvPr id="153" name="正方形/長方形 152"/>
          <xdr:cNvSpPr/>
        </xdr:nvSpPr>
        <xdr:spPr>
          <a:xfrm>
            <a:off x="273100" y="728816"/>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54" name="正方形/長方形 153"/>
          <xdr:cNvSpPr/>
        </xdr:nvSpPr>
        <xdr:spPr>
          <a:xfrm>
            <a:off x="273100" y="1196816"/>
            <a:ext cx="1836000"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55" name="正方形/長方形 154"/>
          <xdr:cNvSpPr/>
        </xdr:nvSpPr>
        <xdr:spPr>
          <a:xfrm>
            <a:off x="1191100" y="728816"/>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56" name="正方形/長方形 155"/>
          <xdr:cNvSpPr/>
        </xdr:nvSpPr>
        <xdr:spPr>
          <a:xfrm>
            <a:off x="267874" y="417734"/>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1</xdr:col>
      <xdr:colOff>592377</xdr:colOff>
      <xdr:row>16</xdr:row>
      <xdr:rowOff>88863</xdr:rowOff>
    </xdr:from>
    <xdr:to>
      <xdr:col>4</xdr:col>
      <xdr:colOff>400855</xdr:colOff>
      <xdr:row>24</xdr:row>
      <xdr:rowOff>123044</xdr:rowOff>
    </xdr:to>
    <xdr:grpSp>
      <xdr:nvGrpSpPr>
        <xdr:cNvPr id="107" name="グループ化 106"/>
        <xdr:cNvGrpSpPr/>
      </xdr:nvGrpSpPr>
      <xdr:grpSpPr>
        <a:xfrm>
          <a:off x="868602" y="2832063"/>
          <a:ext cx="1865878" cy="1405781"/>
          <a:chOff x="-1999920" y="160618"/>
          <a:chExt cx="1851098" cy="1368152"/>
        </a:xfrm>
      </xdr:grpSpPr>
      <xdr:sp macro="" textlink="">
        <xdr:nvSpPr>
          <xdr:cNvPr id="147" name="正方形/長方形 146"/>
          <xdr:cNvSpPr/>
        </xdr:nvSpPr>
        <xdr:spPr>
          <a:xfrm>
            <a:off x="-1990048" y="160618"/>
            <a:ext cx="1836000" cy="288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a:solidFill>
                  <a:schemeClr val="tx1"/>
                </a:solidFill>
              </a:rPr>
              <a:t>C</a:t>
            </a:r>
            <a:r>
              <a:rPr kumimoji="1" lang="ja-JP" altLang="en-US">
                <a:solidFill>
                  <a:schemeClr val="tx1"/>
                </a:solidFill>
              </a:rPr>
              <a:t>下水処理場</a:t>
            </a:r>
          </a:p>
        </xdr:txBody>
      </xdr:sp>
      <xdr:sp macro="" textlink="">
        <xdr:nvSpPr>
          <xdr:cNvPr id="148" name="正方形/長方形 147"/>
          <xdr:cNvSpPr/>
        </xdr:nvSpPr>
        <xdr:spPr>
          <a:xfrm>
            <a:off x="-1990048" y="772770"/>
            <a:ext cx="923226"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49" name="正方形/長方形 148"/>
          <xdr:cNvSpPr/>
        </xdr:nvSpPr>
        <xdr:spPr>
          <a:xfrm>
            <a:off x="-1999920" y="1240770"/>
            <a:ext cx="1842896"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50" name="正方形/長方形 149"/>
          <xdr:cNvSpPr/>
        </xdr:nvSpPr>
        <xdr:spPr>
          <a:xfrm>
            <a:off x="-1066822" y="772770"/>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51" name="正方形/長方形 150"/>
          <xdr:cNvSpPr/>
        </xdr:nvSpPr>
        <xdr:spPr>
          <a:xfrm>
            <a:off x="-1990048" y="461720"/>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1</xdr:col>
      <xdr:colOff>619316</xdr:colOff>
      <xdr:row>26</xdr:row>
      <xdr:rowOff>2336</xdr:rowOff>
    </xdr:from>
    <xdr:to>
      <xdr:col>4</xdr:col>
      <xdr:colOff>417811</xdr:colOff>
      <xdr:row>35</xdr:row>
      <xdr:rowOff>123785</xdr:rowOff>
    </xdr:to>
    <xdr:grpSp>
      <xdr:nvGrpSpPr>
        <xdr:cNvPr id="108" name="グループ化 107"/>
        <xdr:cNvGrpSpPr/>
      </xdr:nvGrpSpPr>
      <xdr:grpSpPr>
        <a:xfrm>
          <a:off x="895541" y="4460036"/>
          <a:ext cx="1855895" cy="1664499"/>
          <a:chOff x="134143" y="2961008"/>
          <a:chExt cx="1841226" cy="1620056"/>
        </a:xfrm>
      </xdr:grpSpPr>
      <xdr:sp macro="" textlink="">
        <xdr:nvSpPr>
          <xdr:cNvPr id="142" name="正方形/長方形 141"/>
          <xdr:cNvSpPr/>
        </xdr:nvSpPr>
        <xdr:spPr>
          <a:xfrm>
            <a:off x="136756" y="2961008"/>
            <a:ext cx="1830774" cy="540000"/>
          </a:xfrm>
          <a:prstGeom prst="rect">
            <a:avLst/>
          </a:prstGeom>
          <a:ln/>
        </xdr:spPr>
        <xdr:style>
          <a:lnRef idx="1">
            <a:schemeClr val="accent6"/>
          </a:lnRef>
          <a:fillRef idx="2">
            <a:schemeClr val="accent6"/>
          </a:fillRef>
          <a:effectRef idx="1">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a:solidFill>
                  <a:schemeClr val="tx1"/>
                </a:solidFill>
              </a:rPr>
              <a:t>その他（</a:t>
            </a:r>
            <a:r>
              <a:rPr lang="en-US" altLang="ja-JP">
                <a:solidFill>
                  <a:schemeClr val="tx1"/>
                </a:solidFill>
              </a:rPr>
              <a:t>D</a:t>
            </a:r>
            <a:r>
              <a:rPr lang="ja-JP" altLang="en-US">
                <a:solidFill>
                  <a:schemeClr val="tx1"/>
                </a:solidFill>
              </a:rPr>
              <a:t>・・・）</a:t>
            </a:r>
            <a:endParaRPr lang="en-US" altLang="ja-JP">
              <a:solidFill>
                <a:schemeClr val="tx1"/>
              </a:solidFill>
            </a:endParaRPr>
          </a:p>
          <a:p>
            <a:pPr algn="ctr"/>
            <a:r>
              <a:rPr kumimoji="1" lang="ja-JP" altLang="en-US">
                <a:solidFill>
                  <a:schemeClr val="tx1"/>
                </a:solidFill>
              </a:rPr>
              <a:t>下水処理場</a:t>
            </a:r>
          </a:p>
        </xdr:txBody>
      </xdr:sp>
      <xdr:sp macro="" textlink="">
        <xdr:nvSpPr>
          <xdr:cNvPr id="143" name="正方形/長方形 142"/>
          <xdr:cNvSpPr/>
        </xdr:nvSpPr>
        <xdr:spPr>
          <a:xfrm>
            <a:off x="139369" y="3825064"/>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sp macro="" textlink="">
        <xdr:nvSpPr>
          <xdr:cNvPr id="144" name="正方形/長方形 143"/>
          <xdr:cNvSpPr/>
        </xdr:nvSpPr>
        <xdr:spPr>
          <a:xfrm>
            <a:off x="139369" y="4293064"/>
            <a:ext cx="1836000" cy="28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sp macro="" textlink="">
        <xdr:nvSpPr>
          <xdr:cNvPr id="145" name="正方形/長方形 144"/>
          <xdr:cNvSpPr/>
        </xdr:nvSpPr>
        <xdr:spPr>
          <a:xfrm>
            <a:off x="1057369" y="3825064"/>
            <a:ext cx="918000" cy="468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sp macro="" textlink="">
        <xdr:nvSpPr>
          <xdr:cNvPr id="146" name="正方形/長方形 145"/>
          <xdr:cNvSpPr/>
        </xdr:nvSpPr>
        <xdr:spPr>
          <a:xfrm>
            <a:off x="134143" y="3510105"/>
            <a:ext cx="1836000" cy="288000"/>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grpSp>
    <xdr:clientData/>
  </xdr:twoCellAnchor>
  <xdr:twoCellAnchor>
    <xdr:from>
      <xdr:col>6</xdr:col>
      <xdr:colOff>455984</xdr:colOff>
      <xdr:row>10</xdr:row>
      <xdr:rowOff>129061</xdr:rowOff>
    </xdr:from>
    <xdr:to>
      <xdr:col>7</xdr:col>
      <xdr:colOff>668528</xdr:colOff>
      <xdr:row>13</xdr:row>
      <xdr:rowOff>119268</xdr:rowOff>
    </xdr:to>
    <xdr:sp macro="" textlink="">
      <xdr:nvSpPr>
        <xdr:cNvPr id="109" name="正方形/長方形 108"/>
        <xdr:cNvSpPr/>
      </xdr:nvSpPr>
      <xdr:spPr>
        <a:xfrm>
          <a:off x="4166593" y="1868409"/>
          <a:ext cx="900000" cy="512011"/>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濃縮</a:t>
          </a:r>
          <a:endParaRPr kumimoji="1" lang="en-US" altLang="ja-JP" sz="1600">
            <a:solidFill>
              <a:srgbClr val="0070C0"/>
            </a:solidFill>
          </a:endParaRPr>
        </a:p>
        <a:p>
          <a:pPr algn="ctr"/>
          <a:r>
            <a:rPr kumimoji="1" lang="ja-JP" altLang="en-US" sz="1600">
              <a:solidFill>
                <a:srgbClr val="0070C0"/>
              </a:solidFill>
            </a:rPr>
            <a:t>設備</a:t>
          </a:r>
        </a:p>
      </xdr:txBody>
    </xdr:sp>
    <xdr:clientData/>
  </xdr:twoCellAnchor>
  <xdr:twoCellAnchor>
    <xdr:from>
      <xdr:col>6</xdr:col>
      <xdr:colOff>439417</xdr:colOff>
      <xdr:row>13</xdr:row>
      <xdr:rowOff>125409</xdr:rowOff>
    </xdr:from>
    <xdr:to>
      <xdr:col>9</xdr:col>
      <xdr:colOff>232627</xdr:colOff>
      <xdr:row>15</xdr:row>
      <xdr:rowOff>78509</xdr:rowOff>
    </xdr:to>
    <xdr:sp macro="" textlink="">
      <xdr:nvSpPr>
        <xdr:cNvPr id="110" name="正方形/長方形 109"/>
        <xdr:cNvSpPr/>
      </xdr:nvSpPr>
      <xdr:spPr>
        <a:xfrm>
          <a:off x="4150026" y="2386561"/>
          <a:ext cx="1855579" cy="30097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汚泥処理電気設備</a:t>
          </a:r>
        </a:p>
      </xdr:txBody>
    </xdr:sp>
    <xdr:clientData/>
  </xdr:twoCellAnchor>
  <xdr:twoCellAnchor>
    <xdr:from>
      <xdr:col>11</xdr:col>
      <xdr:colOff>620761</xdr:colOff>
      <xdr:row>23</xdr:row>
      <xdr:rowOff>143382</xdr:rowOff>
    </xdr:from>
    <xdr:to>
      <xdr:col>13</xdr:col>
      <xdr:colOff>94533</xdr:colOff>
      <xdr:row>26</xdr:row>
      <xdr:rowOff>113085</xdr:rowOff>
    </xdr:to>
    <xdr:sp macro="" textlink="">
      <xdr:nvSpPr>
        <xdr:cNvPr id="111" name="正方形/長方形 110"/>
        <xdr:cNvSpPr/>
      </xdr:nvSpPr>
      <xdr:spPr>
        <a:xfrm>
          <a:off x="7736496" y="4009411"/>
          <a:ext cx="840890" cy="473968"/>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0070C0"/>
              </a:solidFill>
            </a:rPr>
            <a:t>脱水</a:t>
          </a:r>
          <a:endParaRPr lang="en-US" altLang="ja-JP" sz="1600">
            <a:solidFill>
              <a:srgbClr val="0070C0"/>
            </a:solidFill>
          </a:endParaRPr>
        </a:p>
        <a:p>
          <a:pPr algn="ctr"/>
          <a:r>
            <a:rPr lang="ja-JP" altLang="en-US" sz="1600">
              <a:solidFill>
                <a:srgbClr val="0070C0"/>
              </a:solidFill>
            </a:rPr>
            <a:t>設備</a:t>
          </a:r>
          <a:endParaRPr kumimoji="1" lang="ja-JP" altLang="en-US" sz="1600">
            <a:solidFill>
              <a:srgbClr val="0070C0"/>
            </a:solidFill>
          </a:endParaRPr>
        </a:p>
      </xdr:txBody>
    </xdr:sp>
    <xdr:clientData/>
  </xdr:twoCellAnchor>
  <xdr:twoCellAnchor>
    <xdr:from>
      <xdr:col>13</xdr:col>
      <xdr:colOff>618718</xdr:colOff>
      <xdr:row>30</xdr:row>
      <xdr:rowOff>102600</xdr:rowOff>
    </xdr:from>
    <xdr:to>
      <xdr:col>15</xdr:col>
      <xdr:colOff>171388</xdr:colOff>
      <xdr:row>32</xdr:row>
      <xdr:rowOff>55699</xdr:rowOff>
    </xdr:to>
    <xdr:sp macro="" textlink="">
      <xdr:nvSpPr>
        <xdr:cNvPr id="112" name="正方形/長方形 111"/>
        <xdr:cNvSpPr/>
      </xdr:nvSpPr>
      <xdr:spPr>
        <a:xfrm>
          <a:off x="9101571" y="5145247"/>
          <a:ext cx="919788" cy="289276"/>
        </a:xfrm>
        <a:prstGeom prst="rect">
          <a:avLst/>
        </a:prstGeom>
        <a:ln>
          <a:solidFill>
            <a:schemeClr val="accent6">
              <a:lumMod val="50000"/>
            </a:schemeClr>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chemeClr val="accent6">
                  <a:lumMod val="50000"/>
                </a:schemeClr>
              </a:solidFill>
            </a:rPr>
            <a:t>肥料化</a:t>
          </a:r>
        </a:p>
      </xdr:txBody>
    </xdr:sp>
    <xdr:clientData/>
  </xdr:twoCellAnchor>
  <xdr:twoCellAnchor>
    <xdr:from>
      <xdr:col>4</xdr:col>
      <xdr:colOff>458400</xdr:colOff>
      <xdr:row>20</xdr:row>
      <xdr:rowOff>106969</xdr:rowOff>
    </xdr:from>
    <xdr:to>
      <xdr:col>10</xdr:col>
      <xdr:colOff>240661</xdr:colOff>
      <xdr:row>46</xdr:row>
      <xdr:rowOff>96792</xdr:rowOff>
    </xdr:to>
    <xdr:cxnSp macro="">
      <xdr:nvCxnSpPr>
        <xdr:cNvPr id="113" name="直線矢印コネクタ 1030"/>
        <xdr:cNvCxnSpPr>
          <a:stCxn id="99" idx="3"/>
          <a:endCxn id="158" idx="2"/>
        </xdr:cNvCxnSpPr>
      </xdr:nvCxnSpPr>
      <xdr:spPr>
        <a:xfrm flipV="1">
          <a:off x="2789224" y="3468734"/>
          <a:ext cx="3883613" cy="4360117"/>
        </a:xfrm>
        <a:prstGeom prst="bentConnector2">
          <a:avLst/>
        </a:prstGeom>
        <a:ln w="28575">
          <a:solidFill>
            <a:srgbClr val="0070C0"/>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395569</xdr:colOff>
      <xdr:row>31</xdr:row>
      <xdr:rowOff>79150</xdr:rowOff>
    </xdr:from>
    <xdr:to>
      <xdr:col>7</xdr:col>
      <xdr:colOff>691</xdr:colOff>
      <xdr:row>43</xdr:row>
      <xdr:rowOff>47139</xdr:rowOff>
    </xdr:to>
    <xdr:cxnSp macro="">
      <xdr:nvCxnSpPr>
        <xdr:cNvPr id="114" name="直線矢印コネクタ 1030"/>
        <xdr:cNvCxnSpPr>
          <a:stCxn id="168" idx="3"/>
          <a:endCxn id="160" idx="1"/>
        </xdr:cNvCxnSpPr>
      </xdr:nvCxnSpPr>
      <xdr:spPr>
        <a:xfrm flipV="1">
          <a:off x="2726393" y="5289885"/>
          <a:ext cx="1655798" cy="1985048"/>
        </a:xfrm>
        <a:prstGeom prst="bentConnector3">
          <a:avLst>
            <a:gd name="adj1" fmla="val 50000"/>
          </a:avLst>
        </a:prstGeom>
        <a:ln w="28575">
          <a:solidFill>
            <a:schemeClr val="accent4">
              <a:lumMod val="75000"/>
            </a:schemeClr>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4</xdr:col>
      <xdr:colOff>385583</xdr:colOff>
      <xdr:row>25</xdr:row>
      <xdr:rowOff>44189</xdr:rowOff>
    </xdr:from>
    <xdr:to>
      <xdr:col>7</xdr:col>
      <xdr:colOff>692</xdr:colOff>
      <xdr:row>38</xdr:row>
      <xdr:rowOff>99536</xdr:rowOff>
    </xdr:to>
    <xdr:cxnSp macro="">
      <xdr:nvCxnSpPr>
        <xdr:cNvPr id="115" name="直線矢印コネクタ 1030"/>
        <xdr:cNvCxnSpPr>
          <a:stCxn id="101" idx="3"/>
          <a:endCxn id="157" idx="1"/>
        </xdr:cNvCxnSpPr>
      </xdr:nvCxnSpPr>
      <xdr:spPr>
        <a:xfrm flipV="1">
          <a:off x="2716407" y="4246395"/>
          <a:ext cx="1665785" cy="2240494"/>
        </a:xfrm>
        <a:prstGeom prst="bentConnector3">
          <a:avLst>
            <a:gd name="adj1" fmla="val 50000"/>
          </a:avLst>
        </a:prstGeom>
        <a:ln w="28575">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546775</xdr:colOff>
      <xdr:row>20</xdr:row>
      <xdr:rowOff>100005</xdr:rowOff>
    </xdr:from>
    <xdr:to>
      <xdr:col>10</xdr:col>
      <xdr:colOff>113626</xdr:colOff>
      <xdr:row>31</xdr:row>
      <xdr:rowOff>79151</xdr:rowOff>
    </xdr:to>
    <xdr:cxnSp macro="">
      <xdr:nvCxnSpPr>
        <xdr:cNvPr id="116" name="直線矢印コネクタ 1030"/>
        <xdr:cNvCxnSpPr>
          <a:stCxn id="160" idx="3"/>
        </xdr:cNvCxnSpPr>
      </xdr:nvCxnSpPr>
      <xdr:spPr>
        <a:xfrm flipV="1">
          <a:off x="5611834" y="3461770"/>
          <a:ext cx="933968" cy="1828116"/>
        </a:xfrm>
        <a:prstGeom prst="bentConnector2">
          <a:avLst/>
        </a:prstGeom>
        <a:ln w="28575" cmpd="thickThin">
          <a:solidFill>
            <a:srgbClr val="7030A0"/>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8</xdr:col>
      <xdr:colOff>546776</xdr:colOff>
      <xdr:row>20</xdr:row>
      <xdr:rowOff>100774</xdr:rowOff>
    </xdr:from>
    <xdr:to>
      <xdr:col>9</xdr:col>
      <xdr:colOff>655846</xdr:colOff>
      <xdr:row>25</xdr:row>
      <xdr:rowOff>44188</xdr:rowOff>
    </xdr:to>
    <xdr:cxnSp macro="">
      <xdr:nvCxnSpPr>
        <xdr:cNvPr id="117" name="直線矢印コネクタ 1030"/>
        <xdr:cNvCxnSpPr>
          <a:stCxn id="157" idx="3"/>
          <a:endCxn id="92" idx="2"/>
        </xdr:cNvCxnSpPr>
      </xdr:nvCxnSpPr>
      <xdr:spPr>
        <a:xfrm flipV="1">
          <a:off x="5611835" y="3462539"/>
          <a:ext cx="792629" cy="783855"/>
        </a:xfrm>
        <a:prstGeom prst="bentConnector2">
          <a:avLst/>
        </a:prstGeom>
        <a:ln w="28575" cmpd="thickThin">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412525</xdr:colOff>
      <xdr:row>20</xdr:row>
      <xdr:rowOff>23983</xdr:rowOff>
    </xdr:from>
    <xdr:to>
      <xdr:col>6</xdr:col>
      <xdr:colOff>472561</xdr:colOff>
      <xdr:row>30</xdr:row>
      <xdr:rowOff>28683</xdr:rowOff>
    </xdr:to>
    <xdr:cxnSp macro="">
      <xdr:nvCxnSpPr>
        <xdr:cNvPr id="118" name="直線矢印コネクタ 1030"/>
        <xdr:cNvCxnSpPr>
          <a:stCxn id="146" idx="3"/>
          <a:endCxn id="88" idx="1"/>
        </xdr:cNvCxnSpPr>
      </xdr:nvCxnSpPr>
      <xdr:spPr>
        <a:xfrm flipV="1">
          <a:off x="2743349" y="3385748"/>
          <a:ext cx="1427153" cy="1685582"/>
        </a:xfrm>
        <a:prstGeom prst="bentConnector3">
          <a:avLst>
            <a:gd name="adj1" fmla="val 50000"/>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395569</xdr:colOff>
      <xdr:row>19</xdr:row>
      <xdr:rowOff>31957</xdr:rowOff>
    </xdr:from>
    <xdr:to>
      <xdr:col>6</xdr:col>
      <xdr:colOff>484198</xdr:colOff>
      <xdr:row>19</xdr:row>
      <xdr:rowOff>38076</xdr:rowOff>
    </xdr:to>
    <xdr:cxnSp macro="">
      <xdr:nvCxnSpPr>
        <xdr:cNvPr id="119" name="直線矢印コネクタ 118"/>
        <xdr:cNvCxnSpPr>
          <a:stCxn id="151" idx="3"/>
          <a:endCxn id="90" idx="1"/>
        </xdr:cNvCxnSpPr>
      </xdr:nvCxnSpPr>
      <xdr:spPr>
        <a:xfrm>
          <a:off x="2726393" y="3225633"/>
          <a:ext cx="1455746" cy="6119"/>
        </a:xfrm>
        <a:prstGeom prst="straightConnector1">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395569</xdr:colOff>
      <xdr:row>9</xdr:row>
      <xdr:rowOff>118493</xdr:rowOff>
    </xdr:from>
    <xdr:to>
      <xdr:col>6</xdr:col>
      <xdr:colOff>484198</xdr:colOff>
      <xdr:row>18</xdr:row>
      <xdr:rowOff>41964</xdr:rowOff>
    </xdr:to>
    <xdr:cxnSp macro="">
      <xdr:nvCxnSpPr>
        <xdr:cNvPr id="120" name="直線矢印コネクタ 1030"/>
        <xdr:cNvCxnSpPr>
          <a:stCxn id="156" idx="3"/>
        </xdr:cNvCxnSpPr>
      </xdr:nvCxnSpPr>
      <xdr:spPr>
        <a:xfrm>
          <a:off x="2726393" y="1631287"/>
          <a:ext cx="1455746" cy="1436265"/>
        </a:xfrm>
        <a:prstGeom prst="bentConnector3">
          <a:avLst>
            <a:gd name="adj1" fmla="val 50000"/>
          </a:avLst>
        </a:prstGeom>
        <a:ln w="28575">
          <a:solidFill>
            <a:schemeClr val="accent6"/>
          </a:solidFill>
          <a:prstDash val="sysDot"/>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615514</xdr:colOff>
      <xdr:row>9</xdr:row>
      <xdr:rowOff>125065</xdr:rowOff>
    </xdr:from>
    <xdr:to>
      <xdr:col>9</xdr:col>
      <xdr:colOff>232628</xdr:colOff>
      <xdr:row>17</xdr:row>
      <xdr:rowOff>133417</xdr:rowOff>
    </xdr:to>
    <xdr:cxnSp macro="">
      <xdr:nvCxnSpPr>
        <xdr:cNvPr id="121" name="直線矢印コネクタ 1030"/>
        <xdr:cNvCxnSpPr>
          <a:stCxn id="123" idx="3"/>
        </xdr:cNvCxnSpPr>
      </xdr:nvCxnSpPr>
      <xdr:spPr>
        <a:xfrm flipH="1">
          <a:off x="4997014" y="1637859"/>
          <a:ext cx="984232" cy="1353058"/>
        </a:xfrm>
        <a:prstGeom prst="bentConnector4">
          <a:avLst>
            <a:gd name="adj1" fmla="val -23286"/>
            <a:gd name="adj2" fmla="val 84980"/>
          </a:avLst>
        </a:prstGeom>
        <a:ln w="28575" cmpd="thickThin">
          <a:solidFill>
            <a:schemeClr val="accent2"/>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81690</xdr:colOff>
      <xdr:row>9</xdr:row>
      <xdr:rowOff>154936</xdr:rowOff>
    </xdr:from>
    <xdr:to>
      <xdr:col>14</xdr:col>
      <xdr:colOff>345913</xdr:colOff>
      <xdr:row>19</xdr:row>
      <xdr:rowOff>31111</xdr:rowOff>
    </xdr:to>
    <xdr:cxnSp macro="">
      <xdr:nvCxnSpPr>
        <xdr:cNvPr id="122" name="直線矢印コネクタ 1030"/>
        <xdr:cNvCxnSpPr>
          <a:endCxn id="159" idx="3"/>
        </xdr:cNvCxnSpPr>
      </xdr:nvCxnSpPr>
      <xdr:spPr>
        <a:xfrm rot="5400000">
          <a:off x="8259905" y="1972368"/>
          <a:ext cx="1557057" cy="947782"/>
        </a:xfrm>
        <a:prstGeom prst="bentConnector2">
          <a:avLst/>
        </a:prstGeom>
        <a:ln w="28575" cmpd="thickThin">
          <a:solidFill>
            <a:srgbClr val="FF7C8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439417</xdr:colOff>
      <xdr:row>8</xdr:row>
      <xdr:rowOff>148516</xdr:rowOff>
    </xdr:from>
    <xdr:to>
      <xdr:col>9</xdr:col>
      <xdr:colOff>232627</xdr:colOff>
      <xdr:row>10</xdr:row>
      <xdr:rowOff>104731</xdr:rowOff>
    </xdr:to>
    <xdr:sp macro="" textlink="">
      <xdr:nvSpPr>
        <xdr:cNvPr id="123" name="正方形/長方形 122"/>
        <xdr:cNvSpPr/>
      </xdr:nvSpPr>
      <xdr:spPr>
        <a:xfrm>
          <a:off x="4137358" y="1493222"/>
          <a:ext cx="1843887" cy="292391"/>
        </a:xfrm>
        <a:prstGeom prst="rect">
          <a:avLst/>
        </a:prstGeom>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a:solidFill>
                <a:schemeClr val="tx1"/>
              </a:solidFill>
            </a:rPr>
            <a:t>脱水汚泥</a:t>
          </a:r>
        </a:p>
      </xdr:txBody>
    </xdr:sp>
    <xdr:clientData/>
  </xdr:twoCellAnchor>
  <xdr:twoCellAnchor>
    <xdr:from>
      <xdr:col>14</xdr:col>
      <xdr:colOff>27006</xdr:colOff>
      <xdr:row>15</xdr:row>
      <xdr:rowOff>132010</xdr:rowOff>
    </xdr:from>
    <xdr:to>
      <xdr:col>15</xdr:col>
      <xdr:colOff>50830</xdr:colOff>
      <xdr:row>17</xdr:row>
      <xdr:rowOff>125163</xdr:rowOff>
    </xdr:to>
    <xdr:sp macro="" textlink="">
      <xdr:nvSpPr>
        <xdr:cNvPr id="124" name="正方形/長方形 123"/>
        <xdr:cNvSpPr/>
      </xdr:nvSpPr>
      <xdr:spPr>
        <a:xfrm>
          <a:off x="9193418" y="2653334"/>
          <a:ext cx="707383" cy="329329"/>
        </a:xfrm>
        <a:prstGeom prst="rect">
          <a:avLst/>
        </a:prstGeom>
        <a:ln>
          <a:solidFill>
            <a:srgbClr val="FF7C8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chemeClr val="tx1"/>
              </a:solidFill>
            </a:rPr>
            <a:t>加温</a:t>
          </a:r>
        </a:p>
      </xdr:txBody>
    </xdr:sp>
    <xdr:clientData/>
  </xdr:twoCellAnchor>
  <xdr:twoCellAnchor>
    <xdr:from>
      <xdr:col>13</xdr:col>
      <xdr:colOff>81689</xdr:colOff>
      <xdr:row>31</xdr:row>
      <xdr:rowOff>79150</xdr:rowOff>
    </xdr:from>
    <xdr:to>
      <xdr:col>13</xdr:col>
      <xdr:colOff>618718</xdr:colOff>
      <xdr:row>31</xdr:row>
      <xdr:rowOff>79150</xdr:rowOff>
    </xdr:to>
    <xdr:cxnSp macro="">
      <xdr:nvCxnSpPr>
        <xdr:cNvPr id="125" name="直線矢印コネクタ 124"/>
        <xdr:cNvCxnSpPr>
          <a:stCxn id="162" idx="3"/>
          <a:endCxn id="112" idx="1"/>
        </xdr:cNvCxnSpPr>
      </xdr:nvCxnSpPr>
      <xdr:spPr>
        <a:xfrm>
          <a:off x="8564542" y="5289885"/>
          <a:ext cx="537029" cy="0"/>
        </a:xfrm>
        <a:prstGeom prst="straightConnector1">
          <a:avLst/>
        </a:prstGeom>
        <a:ln w="28575" cmpd="thickThin">
          <a:solidFill>
            <a:schemeClr val="accent6">
              <a:lumMod val="50000"/>
            </a:schemeClr>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446433</xdr:colOff>
      <xdr:row>36</xdr:row>
      <xdr:rowOff>23228</xdr:rowOff>
    </xdr:from>
    <xdr:to>
      <xdr:col>16</xdr:col>
      <xdr:colOff>355024</xdr:colOff>
      <xdr:row>45</xdr:row>
      <xdr:rowOff>113306</xdr:rowOff>
    </xdr:to>
    <xdr:grpSp>
      <xdr:nvGrpSpPr>
        <xdr:cNvPr id="126" name="グループ化 125"/>
        <xdr:cNvGrpSpPr/>
      </xdr:nvGrpSpPr>
      <xdr:grpSpPr>
        <a:xfrm>
          <a:off x="6894858" y="6195428"/>
          <a:ext cx="4023391" cy="1633128"/>
          <a:chOff x="5788656" y="4869159"/>
          <a:chExt cx="3987430" cy="1589911"/>
        </a:xfrm>
      </xdr:grpSpPr>
      <xdr:sp macro="" textlink="">
        <xdr:nvSpPr>
          <xdr:cNvPr id="127" name="テキスト ボックス 143"/>
          <xdr:cNvSpPr txBox="1"/>
        </xdr:nvSpPr>
        <xdr:spPr>
          <a:xfrm>
            <a:off x="5788656" y="4869159"/>
            <a:ext cx="3843552" cy="1589911"/>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1400"/>
          </a:p>
        </xdr:txBody>
      </xdr:sp>
      <xdr:grpSp>
        <xdr:nvGrpSpPr>
          <xdr:cNvPr id="128" name="グループ化 127"/>
          <xdr:cNvGrpSpPr/>
        </xdr:nvGrpSpPr>
        <xdr:grpSpPr>
          <a:xfrm>
            <a:off x="5868144" y="5005271"/>
            <a:ext cx="3528392" cy="307777"/>
            <a:chOff x="5868144" y="5005271"/>
            <a:chExt cx="3528392" cy="307777"/>
          </a:xfrm>
        </xdr:grpSpPr>
        <xdr:sp macro="" textlink="">
          <xdr:nvSpPr>
            <xdr:cNvPr id="140" name="正方形/長方形 139"/>
            <xdr:cNvSpPr/>
          </xdr:nvSpPr>
          <xdr:spPr>
            <a:xfrm>
              <a:off x="5868144" y="5013176"/>
              <a:ext cx="706343" cy="252000"/>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41" name="テキスト ボックス 192"/>
            <xdr:cNvSpPr txBox="1"/>
          </xdr:nvSpPr>
          <xdr:spPr>
            <a:xfrm>
              <a:off x="6574487" y="5005271"/>
              <a:ext cx="2822049" cy="30777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：既存</a:t>
              </a:r>
              <a:r>
                <a:rPr kumimoji="1" lang="ja-JP" altLang="en-US" sz="1400"/>
                <a:t>設備 ⇒ 更新費・維持管理費</a:t>
              </a:r>
            </a:p>
          </xdr:txBody>
        </xdr:sp>
      </xdr:grpSp>
      <xdr:grpSp>
        <xdr:nvGrpSpPr>
          <xdr:cNvPr id="129" name="グループ化 128"/>
          <xdr:cNvGrpSpPr/>
        </xdr:nvGrpSpPr>
        <xdr:grpSpPr>
          <a:xfrm>
            <a:off x="5868144" y="5436543"/>
            <a:ext cx="3907942" cy="550877"/>
            <a:chOff x="5868144" y="5455840"/>
            <a:chExt cx="3907942" cy="550877"/>
          </a:xfrm>
        </xdr:grpSpPr>
        <xdr:sp macro="" textlink="">
          <xdr:nvSpPr>
            <xdr:cNvPr id="138" name="正方形/長方形 137"/>
            <xdr:cNvSpPr/>
          </xdr:nvSpPr>
          <xdr:spPr>
            <a:xfrm>
              <a:off x="5868144" y="5463745"/>
              <a:ext cx="706343" cy="252000"/>
            </a:xfrm>
            <a:prstGeom prst="rect">
              <a:avLst/>
            </a:prstGeom>
            <a:ln>
              <a:solidFill>
                <a:srgbClr val="FF000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39" name="テキスト ボックス 194"/>
            <xdr:cNvSpPr txBox="1"/>
          </xdr:nvSpPr>
          <xdr:spPr>
            <a:xfrm>
              <a:off x="6574487" y="5455840"/>
              <a:ext cx="3201599" cy="55087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：新規</a:t>
              </a:r>
              <a:r>
                <a:rPr kumimoji="1" lang="ja-JP" altLang="en-US" sz="1400"/>
                <a:t>設備 ⇒ 建設費・維持管理費</a:t>
              </a:r>
              <a:endParaRPr kumimoji="1" lang="en-US" altLang="ja-JP" sz="1400"/>
            </a:p>
            <a:p>
              <a:r>
                <a:rPr kumimoji="1" lang="ja-JP" altLang="en-US" sz="1400"/>
                <a:t>　（破線の設備の導入は、任意に選択）</a:t>
              </a:r>
            </a:p>
          </xdr:txBody>
        </xdr:sp>
      </xdr:grpSp>
      <xdr:grpSp>
        <xdr:nvGrpSpPr>
          <xdr:cNvPr id="130" name="グループ化 129"/>
          <xdr:cNvGrpSpPr/>
        </xdr:nvGrpSpPr>
        <xdr:grpSpPr>
          <a:xfrm>
            <a:off x="5868144" y="5866409"/>
            <a:ext cx="3168352" cy="444726"/>
            <a:chOff x="5868144" y="5883503"/>
            <a:chExt cx="3168352" cy="444726"/>
          </a:xfrm>
        </xdr:grpSpPr>
        <xdr:grpSp>
          <xdr:nvGrpSpPr>
            <xdr:cNvPr id="134" name="グループ化 133"/>
            <xdr:cNvGrpSpPr/>
          </xdr:nvGrpSpPr>
          <xdr:grpSpPr>
            <a:xfrm>
              <a:off x="5868144" y="5883503"/>
              <a:ext cx="3168352" cy="444726"/>
              <a:chOff x="5868144" y="5463745"/>
              <a:chExt cx="3168352" cy="444726"/>
            </a:xfrm>
          </xdr:grpSpPr>
          <xdr:sp macro="" textlink="">
            <xdr:nvSpPr>
              <xdr:cNvPr id="136" name="正方形/長方形 135"/>
              <xdr:cNvSpPr/>
            </xdr:nvSpPr>
            <xdr:spPr>
              <a:xfrm>
                <a:off x="5868144" y="5463745"/>
                <a:ext cx="706343" cy="252000"/>
              </a:xfrm>
              <a:prstGeom prst="rect">
                <a:avLst/>
              </a:prstGeom>
              <a:ln>
                <a:no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600">
                  <a:solidFill>
                    <a:srgbClr val="0070C0"/>
                  </a:solidFill>
                </a:endParaRPr>
              </a:p>
            </xdr:txBody>
          </xdr:sp>
          <xdr:sp macro="" textlink="">
            <xdr:nvSpPr>
              <xdr:cNvPr id="137" name="テキスト ボックス 200"/>
              <xdr:cNvSpPr txBox="1"/>
            </xdr:nvSpPr>
            <xdr:spPr>
              <a:xfrm>
                <a:off x="6574487" y="5600694"/>
                <a:ext cx="2462009" cy="307777"/>
              </a:xfrm>
              <a:prstGeom prst="rect">
                <a:avLst/>
              </a:prstGeom>
              <a:noFill/>
              <a:ln>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：収集運搬費</a:t>
                </a:r>
                <a:endParaRPr kumimoji="1" lang="ja-JP" altLang="en-US" sz="1400"/>
              </a:p>
            </xdr:txBody>
          </xdr:sp>
        </xdr:grpSp>
        <xdr:cxnSp macro="">
          <xdr:nvCxnSpPr>
            <xdr:cNvPr id="135" name="直線矢印コネクタ 134"/>
            <xdr:cNvCxnSpPr/>
          </xdr:nvCxnSpPr>
          <xdr:spPr>
            <a:xfrm>
              <a:off x="5868144" y="6189137"/>
              <a:ext cx="706343" cy="0"/>
            </a:xfrm>
            <a:prstGeom prst="straightConnector1">
              <a:avLst/>
            </a:prstGeom>
            <a:ln w="28575">
              <a:solidFill>
                <a:schemeClr val="tx1"/>
              </a:solidFill>
              <a:prstDash val="sysDot"/>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grpSp>
    </xdr:grpSp>
    <xdr:clientData/>
  </xdr:twoCellAnchor>
  <xdr:twoCellAnchor>
    <xdr:from>
      <xdr:col>1</xdr:col>
      <xdr:colOff>67233</xdr:colOff>
      <xdr:row>0</xdr:row>
      <xdr:rowOff>145675</xdr:rowOff>
    </xdr:from>
    <xdr:to>
      <xdr:col>16</xdr:col>
      <xdr:colOff>433851</xdr:colOff>
      <xdr:row>3</xdr:row>
      <xdr:rowOff>70989</xdr:rowOff>
    </xdr:to>
    <xdr:sp macro="" textlink="">
      <xdr:nvSpPr>
        <xdr:cNvPr id="95" name="正方形/長方形 94"/>
        <xdr:cNvSpPr/>
      </xdr:nvSpPr>
      <xdr:spPr>
        <a:xfrm>
          <a:off x="347380" y="145675"/>
          <a:ext cx="10620000" cy="429579"/>
        </a:xfrm>
        <a:prstGeom prst="rect">
          <a:avLst/>
        </a:prstGeom>
        <a:ln w="57150">
          <a:solidFill>
            <a:schemeClr val="tx1"/>
          </a:solidFill>
        </a:ln>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2400">
              <a:solidFill>
                <a:schemeClr val="tx1"/>
              </a:solidFill>
            </a:rPr>
            <a:t>メタン活用いしかわモデル　システムイメージ図</a:t>
          </a:r>
        </a:p>
      </xdr:txBody>
    </xdr:sp>
    <xdr:clientData/>
  </xdr:twoCellAnchor>
  <xdr:twoCellAnchor>
    <xdr:from>
      <xdr:col>6</xdr:col>
      <xdr:colOff>464783</xdr:colOff>
      <xdr:row>18</xdr:row>
      <xdr:rowOff>5382</xdr:rowOff>
    </xdr:from>
    <xdr:to>
      <xdr:col>9</xdr:col>
      <xdr:colOff>31124</xdr:colOff>
      <xdr:row>20</xdr:row>
      <xdr:rowOff>141890</xdr:rowOff>
    </xdr:to>
    <xdr:sp macro="" textlink="">
      <xdr:nvSpPr>
        <xdr:cNvPr id="90" name="正方形/長方形 89"/>
        <xdr:cNvSpPr/>
      </xdr:nvSpPr>
      <xdr:spPr>
        <a:xfrm>
          <a:off x="4175392" y="3136208"/>
          <a:ext cx="1628710" cy="484378"/>
        </a:xfrm>
        <a:prstGeom prst="rect">
          <a:avLst/>
        </a:prstGeom>
        <a:ln>
          <a:solidFill>
            <a:srgbClr val="FF0000"/>
          </a:solidFill>
          <a:prstDash val="dash"/>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600">
              <a:solidFill>
                <a:srgbClr val="FF0000"/>
              </a:solidFill>
            </a:rPr>
            <a:t>汚泥前処理設備</a:t>
          </a:r>
          <a:endParaRPr lang="en-US" altLang="ja-JP" sz="1600">
            <a:solidFill>
              <a:srgbClr val="FF0000"/>
            </a:solidFill>
          </a:endParaRPr>
        </a:p>
        <a:p>
          <a:pPr algn="ctr"/>
          <a:r>
            <a:rPr lang="ja-JP" altLang="en-US" sz="1600">
              <a:solidFill>
                <a:srgbClr val="FF0000"/>
              </a:solidFill>
            </a:rPr>
            <a:t>（</a:t>
          </a:r>
          <a:r>
            <a:rPr lang="en-US" altLang="ja-JP" sz="1600">
              <a:solidFill>
                <a:srgbClr val="FF0000"/>
              </a:solidFill>
            </a:rPr>
            <a:t>MW</a:t>
          </a:r>
          <a:r>
            <a:rPr lang="ja-JP" altLang="en-US" sz="1600">
              <a:solidFill>
                <a:srgbClr val="FF0000"/>
              </a:solidFill>
            </a:rPr>
            <a:t>照射装置）</a:t>
          </a:r>
          <a:endParaRPr lang="en-US" altLang="ja-JP" sz="1600">
            <a:solidFill>
              <a:srgbClr val="FF0000"/>
            </a:solidFill>
          </a:endParaRPr>
        </a:p>
      </xdr:txBody>
    </xdr:sp>
    <xdr:clientData/>
  </xdr:twoCellAnchor>
  <xdr:twoCellAnchor>
    <xdr:from>
      <xdr:col>9</xdr:col>
      <xdr:colOff>31124</xdr:colOff>
      <xdr:row>19</xdr:row>
      <xdr:rowOff>73636</xdr:rowOff>
    </xdr:from>
    <xdr:to>
      <xdr:col>9</xdr:col>
      <xdr:colOff>479701</xdr:colOff>
      <xdr:row>19</xdr:row>
      <xdr:rowOff>73636</xdr:rowOff>
    </xdr:to>
    <xdr:cxnSp macro="">
      <xdr:nvCxnSpPr>
        <xdr:cNvPr id="91" name="直線矢印コネクタ 90"/>
        <xdr:cNvCxnSpPr>
          <a:stCxn id="90" idx="3"/>
          <a:endCxn id="158" idx="1"/>
        </xdr:cNvCxnSpPr>
      </xdr:nvCxnSpPr>
      <xdr:spPr>
        <a:xfrm>
          <a:off x="5804102" y="3378397"/>
          <a:ext cx="448577" cy="0"/>
        </a:xfrm>
        <a:prstGeom prst="straightConnector1">
          <a:avLst/>
        </a:prstGeom>
        <a:ln w="28575" cmpd="thickThin">
          <a:solidFill>
            <a:schemeClr val="accent2"/>
          </a:solidFill>
          <a:prstDash val="solid"/>
          <a:headEnd type="diamond" w="med" len="med"/>
          <a:tailEnd type="triangl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9</xdr:col>
      <xdr:colOff>479701</xdr:colOff>
      <xdr:row>18</xdr:row>
      <xdr:rowOff>110912</xdr:rowOff>
    </xdr:from>
    <xdr:to>
      <xdr:col>10</xdr:col>
      <xdr:colOff>81825</xdr:colOff>
      <xdr:row>20</xdr:row>
      <xdr:rowOff>135640</xdr:rowOff>
    </xdr:to>
    <xdr:sp macro="" textlink="">
      <xdr:nvSpPr>
        <xdr:cNvPr id="92" name="正方形/長方形 91"/>
        <xdr:cNvSpPr/>
      </xdr:nvSpPr>
      <xdr:spPr>
        <a:xfrm>
          <a:off x="6252679" y="3241738"/>
          <a:ext cx="289581" cy="3725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13</xdr:col>
      <xdr:colOff>611663</xdr:colOff>
      <xdr:row>9</xdr:row>
      <xdr:rowOff>114990</xdr:rowOff>
    </xdr:from>
    <xdr:to>
      <xdr:col>15</xdr:col>
      <xdr:colOff>68483</xdr:colOff>
      <xdr:row>12</xdr:row>
      <xdr:rowOff>77564</xdr:rowOff>
    </xdr:to>
    <xdr:sp macro="" textlink="">
      <xdr:nvSpPr>
        <xdr:cNvPr id="172" name="正方形/長方形 171"/>
        <xdr:cNvSpPr/>
      </xdr:nvSpPr>
      <xdr:spPr>
        <a:xfrm>
          <a:off x="9134467" y="1680403"/>
          <a:ext cx="831733" cy="484378"/>
        </a:xfrm>
        <a:prstGeom prst="rect">
          <a:avLst/>
        </a:prstGeom>
        <a:ln>
          <a:solidFill>
            <a:srgbClr val="FF0000"/>
          </a:solidFill>
          <a:prstDash val="dash"/>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0000"/>
              </a:solidFill>
            </a:rPr>
            <a:t>発電機</a:t>
          </a:r>
        </a:p>
      </xdr:txBody>
    </xdr:sp>
    <xdr:clientData/>
  </xdr:twoCellAnchor>
  <xdr:twoCellAnchor>
    <xdr:from>
      <xdr:col>13</xdr:col>
      <xdr:colOff>39149</xdr:colOff>
      <xdr:row>11</xdr:row>
      <xdr:rowOff>9309</xdr:rowOff>
    </xdr:from>
    <xdr:to>
      <xdr:col>13</xdr:col>
      <xdr:colOff>611663</xdr:colOff>
      <xdr:row>11</xdr:row>
      <xdr:rowOff>9309</xdr:rowOff>
    </xdr:to>
    <xdr:cxnSp macro="">
      <xdr:nvCxnSpPr>
        <xdr:cNvPr id="174" name="直線矢印コネクタ 173"/>
        <xdr:cNvCxnSpPr>
          <a:stCxn id="102" idx="3"/>
          <a:endCxn id="172" idx="1"/>
        </xdr:cNvCxnSpPr>
      </xdr:nvCxnSpPr>
      <xdr:spPr>
        <a:xfrm>
          <a:off x="8561953" y="1922592"/>
          <a:ext cx="572514" cy="0"/>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455545</xdr:colOff>
      <xdr:row>4</xdr:row>
      <xdr:rowOff>79375</xdr:rowOff>
    </xdr:from>
    <xdr:to>
      <xdr:col>15</xdr:col>
      <xdr:colOff>224602</xdr:colOff>
      <xdr:row>7</xdr:row>
      <xdr:rowOff>149086</xdr:rowOff>
    </xdr:to>
    <xdr:sp macro="" textlink="">
      <xdr:nvSpPr>
        <xdr:cNvPr id="179" name="正方形/長方形 178"/>
        <xdr:cNvSpPr/>
      </xdr:nvSpPr>
      <xdr:spPr>
        <a:xfrm>
          <a:off x="8978349" y="775114"/>
          <a:ext cx="1143970" cy="591515"/>
        </a:xfrm>
        <a:prstGeom prst="rect">
          <a:avLst/>
        </a:prstGeom>
        <a:ln>
          <a:solidFill>
            <a:srgbClr val="FFC000"/>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FFC000"/>
              </a:solidFill>
            </a:rPr>
            <a:t>電力</a:t>
          </a:r>
          <a:endParaRPr kumimoji="1" lang="en-US" altLang="ja-JP" sz="1600">
            <a:solidFill>
              <a:srgbClr val="FFC000"/>
            </a:solidFill>
          </a:endParaRPr>
        </a:p>
        <a:p>
          <a:pPr algn="ctr"/>
          <a:r>
            <a:rPr kumimoji="1" lang="ja-JP" altLang="en-US" sz="1600">
              <a:solidFill>
                <a:srgbClr val="FFC000"/>
              </a:solidFill>
            </a:rPr>
            <a:t>場内利用</a:t>
          </a:r>
        </a:p>
      </xdr:txBody>
    </xdr:sp>
    <xdr:clientData/>
  </xdr:twoCellAnchor>
  <xdr:twoCellAnchor>
    <xdr:from>
      <xdr:col>14</xdr:col>
      <xdr:colOff>340073</xdr:colOff>
      <xdr:row>7</xdr:row>
      <xdr:rowOff>149086</xdr:rowOff>
    </xdr:from>
    <xdr:to>
      <xdr:col>14</xdr:col>
      <xdr:colOff>340073</xdr:colOff>
      <xdr:row>9</xdr:row>
      <xdr:rowOff>114990</xdr:rowOff>
    </xdr:to>
    <xdr:cxnSp macro="">
      <xdr:nvCxnSpPr>
        <xdr:cNvPr id="180" name="直線矢印コネクタ 179"/>
        <xdr:cNvCxnSpPr>
          <a:stCxn id="172" idx="0"/>
          <a:endCxn id="179" idx="2"/>
        </xdr:cNvCxnSpPr>
      </xdr:nvCxnSpPr>
      <xdr:spPr>
        <a:xfrm flipV="1">
          <a:off x="9550334" y="1366629"/>
          <a:ext cx="0" cy="313774"/>
        </a:xfrm>
        <a:prstGeom prst="straightConnector1">
          <a:avLst/>
        </a:prstGeom>
        <a:ln w="28575" cmpd="thickThin">
          <a:solidFill>
            <a:srgbClr val="FFC000"/>
          </a:solidFill>
          <a:prstDash val="solid"/>
          <a:headEnd type="diamond" w="med" len="med"/>
          <a:tailEnd type="triangl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98554</xdr:colOff>
      <xdr:row>24</xdr:row>
      <xdr:rowOff>77391</xdr:rowOff>
    </xdr:from>
    <xdr:to>
      <xdr:col>15</xdr:col>
      <xdr:colOff>369794</xdr:colOff>
      <xdr:row>28</xdr:row>
      <xdr:rowOff>76870</xdr:rowOff>
    </xdr:to>
    <xdr:sp macro="" textlink="">
      <xdr:nvSpPr>
        <xdr:cNvPr id="186" name="正方形/長方形 185"/>
        <xdr:cNvSpPr/>
      </xdr:nvSpPr>
      <xdr:spPr>
        <a:xfrm>
          <a:off x="8581407" y="4111509"/>
          <a:ext cx="1638358" cy="6718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400">
              <a:solidFill>
                <a:schemeClr val="tx1"/>
              </a:solidFill>
            </a:rPr>
            <a:t>※</a:t>
          </a:r>
          <a:r>
            <a:rPr kumimoji="1" lang="ja-JP" altLang="en-US" sz="1400">
              <a:solidFill>
                <a:schemeClr val="tx1"/>
              </a:solidFill>
            </a:rPr>
            <a:t>乾燥設備を導入しない場合は委託処分</a:t>
          </a:r>
        </a:p>
      </xdr:txBody>
    </xdr:sp>
    <xdr:clientData/>
  </xdr:twoCellAnchor>
  <xdr:twoCellAnchor>
    <xdr:from>
      <xdr:col>10</xdr:col>
      <xdr:colOff>78623</xdr:colOff>
      <xdr:row>5</xdr:row>
      <xdr:rowOff>136837</xdr:rowOff>
    </xdr:from>
    <xdr:to>
      <xdr:col>13</xdr:col>
      <xdr:colOff>250032</xdr:colOff>
      <xdr:row>9</xdr:row>
      <xdr:rowOff>136316</xdr:rowOff>
    </xdr:to>
    <xdr:sp macro="" textlink="">
      <xdr:nvSpPr>
        <xdr:cNvPr id="188" name="正方形/長方形 187"/>
        <xdr:cNvSpPr/>
      </xdr:nvSpPr>
      <xdr:spPr>
        <a:xfrm>
          <a:off x="6513951" y="1000040"/>
          <a:ext cx="2225237" cy="6900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400">
              <a:solidFill>
                <a:schemeClr val="tx1"/>
              </a:solidFill>
            </a:rPr>
            <a:t>※</a:t>
          </a:r>
          <a:r>
            <a:rPr kumimoji="1" lang="ja-JP" altLang="en-US" sz="1400">
              <a:solidFill>
                <a:schemeClr val="tx1"/>
              </a:solidFill>
            </a:rPr>
            <a:t>発電機を導入しない場合は施設内の加温に利用</a:t>
          </a:r>
        </a:p>
      </xdr:txBody>
    </xdr:sp>
    <xdr:clientData/>
  </xdr:twoCellAnchor>
  <xdr:twoCellAnchor>
    <xdr:from>
      <xdr:col>8</xdr:col>
      <xdr:colOff>3753</xdr:colOff>
      <xdr:row>10</xdr:row>
      <xdr:rowOff>129061</xdr:rowOff>
    </xdr:from>
    <xdr:to>
      <xdr:col>9</xdr:col>
      <xdr:colOff>216297</xdr:colOff>
      <xdr:row>13</xdr:row>
      <xdr:rowOff>119268</xdr:rowOff>
    </xdr:to>
    <xdr:sp macro="" textlink="">
      <xdr:nvSpPr>
        <xdr:cNvPr id="191" name="正方形/長方形 190"/>
        <xdr:cNvSpPr/>
      </xdr:nvSpPr>
      <xdr:spPr>
        <a:xfrm>
          <a:off x="5089275" y="1868409"/>
          <a:ext cx="900000" cy="512011"/>
        </a:xfrm>
        <a:prstGeom prst="rect">
          <a:avLst/>
        </a:prstGeom>
        <a:ln>
          <a:solidFill>
            <a:srgbClr val="00B0F0"/>
          </a:solidFill>
          <a:prstDash val="solid"/>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600">
              <a:solidFill>
                <a:srgbClr val="0070C0"/>
              </a:solidFill>
            </a:rPr>
            <a:t>脱水</a:t>
          </a:r>
          <a:endParaRPr kumimoji="1" lang="en-US" altLang="ja-JP" sz="1600">
            <a:solidFill>
              <a:srgbClr val="0070C0"/>
            </a:solidFill>
          </a:endParaRPr>
        </a:p>
        <a:p>
          <a:pPr algn="ctr"/>
          <a:r>
            <a:rPr kumimoji="1" lang="ja-JP" altLang="en-US" sz="1600">
              <a:solidFill>
                <a:srgbClr val="0070C0"/>
              </a:solidFill>
            </a:rPr>
            <a:t>設備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2382</xdr:colOff>
      <xdr:row>12</xdr:row>
      <xdr:rowOff>150018</xdr:rowOff>
    </xdr:from>
    <xdr:to>
      <xdr:col>43</xdr:col>
      <xdr:colOff>1771651</xdr:colOff>
      <xdr:row>20</xdr:row>
      <xdr:rowOff>180974</xdr:rowOff>
    </xdr:to>
    <xdr:sp macro="" textlink="">
      <xdr:nvSpPr>
        <xdr:cNvPr id="2" name="テキスト ボックス 1"/>
        <xdr:cNvSpPr txBox="1"/>
      </xdr:nvSpPr>
      <xdr:spPr>
        <a:xfrm>
          <a:off x="13070682" y="2255043"/>
          <a:ext cx="4779169" cy="1431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事業費算定に関する注意事項</a:t>
          </a:r>
          <a:endParaRPr kumimoji="1" lang="en-US" altLang="ja-JP" sz="1100"/>
        </a:p>
        <a:p>
          <a:r>
            <a:rPr kumimoji="1" lang="ja-JP" altLang="en-US" sz="1100"/>
            <a:t>・経済性の算定範囲は濃縮設備以降を対象とする。</a:t>
          </a:r>
          <a:endParaRPr kumimoji="1" lang="en-US" altLang="ja-JP" sz="1100"/>
        </a:p>
        <a:p>
          <a:r>
            <a:rPr kumimoji="1" lang="ja-JP" altLang="en-US" sz="1100"/>
            <a:t>・各設備の建設費（更新費）・維持管理費は費用関数から算定する。</a:t>
          </a:r>
          <a:endParaRPr kumimoji="1" lang="en-US" altLang="ja-JP" sz="1100"/>
        </a:p>
        <a:p>
          <a:r>
            <a:rPr kumimoji="1" lang="ja-JP" altLang="en-US" sz="1100"/>
            <a:t>・下水道施設の建設費に係る補助率は</a:t>
          </a:r>
          <a:r>
            <a:rPr kumimoji="1" lang="en-US" altLang="ja-JP" sz="1100"/>
            <a:t>0.55</a:t>
          </a:r>
          <a:r>
            <a:rPr kumimoji="1" lang="ja-JP" altLang="en-US" sz="1100"/>
            <a:t>、ごみ処理施設の建設費に係る補助率は</a:t>
          </a:r>
          <a:r>
            <a:rPr kumimoji="1" lang="en-US" altLang="ja-JP" sz="1100"/>
            <a:t>0.33</a:t>
          </a:r>
          <a:r>
            <a:rPr kumimoji="1" lang="ja-JP" altLang="en-US" sz="1100"/>
            <a:t>と設定する。</a:t>
          </a:r>
          <a:endParaRPr kumimoji="1" lang="en-US" altLang="ja-JP" sz="1100"/>
        </a:p>
        <a:p>
          <a:r>
            <a:rPr kumimoji="1" lang="ja-JP" altLang="en-US" sz="1100"/>
            <a:t>・生ごみの建設費は、下水道施設受入によるごみ処理施設の規模削減分を計上する。</a:t>
          </a:r>
          <a:endParaRPr kumimoji="1" lang="en-US" altLang="ja-JP" sz="1100"/>
        </a:p>
        <a:p>
          <a:endParaRPr kumimoji="1" lang="en-US" altLang="ja-JP" sz="1100"/>
        </a:p>
      </xdr:txBody>
    </xdr:sp>
    <xdr:clientData/>
  </xdr:twoCellAnchor>
  <xdr:twoCellAnchor>
    <xdr:from>
      <xdr:col>20</xdr:col>
      <xdr:colOff>42179</xdr:colOff>
      <xdr:row>41</xdr:row>
      <xdr:rowOff>0</xdr:rowOff>
    </xdr:from>
    <xdr:to>
      <xdr:col>37</xdr:col>
      <xdr:colOff>301786</xdr:colOff>
      <xdr:row>60</xdr:row>
      <xdr:rowOff>71668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28573</xdr:colOff>
      <xdr:row>41</xdr:row>
      <xdr:rowOff>0</xdr:rowOff>
    </xdr:from>
    <xdr:to>
      <xdr:col>18</xdr:col>
      <xdr:colOff>288180</xdr:colOff>
      <xdr:row>60</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40</xdr:col>
      <xdr:colOff>2382</xdr:colOff>
      <xdr:row>12</xdr:row>
      <xdr:rowOff>150018</xdr:rowOff>
    </xdr:from>
    <xdr:to>
      <xdr:col>43</xdr:col>
      <xdr:colOff>1771651</xdr:colOff>
      <xdr:row>22</xdr:row>
      <xdr:rowOff>56030</xdr:rowOff>
    </xdr:to>
    <xdr:sp macro="" textlink="">
      <xdr:nvSpPr>
        <xdr:cNvPr id="4" name="テキスト ボックス 3"/>
        <xdr:cNvSpPr txBox="1"/>
      </xdr:nvSpPr>
      <xdr:spPr>
        <a:xfrm>
          <a:off x="13046029" y="2223106"/>
          <a:ext cx="4772446" cy="1620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事業費算定に関する注意事項</a:t>
          </a:r>
          <a:endParaRPr kumimoji="1" lang="en-US" altLang="ja-JP" sz="1100"/>
        </a:p>
        <a:p>
          <a:r>
            <a:rPr kumimoji="1" lang="ja-JP" altLang="en-US" sz="1100"/>
            <a:t>・経済性の算定範囲は濃縮設備以降を対象とする。</a:t>
          </a:r>
          <a:endParaRPr kumimoji="1" lang="en-US" altLang="ja-JP" sz="1100"/>
        </a:p>
        <a:p>
          <a:r>
            <a:rPr kumimoji="1" lang="ja-JP" altLang="en-US" sz="1100"/>
            <a:t>・各設備の建設費（更新費）・維持管理費は費用関数から算定する。</a:t>
          </a:r>
          <a:endParaRPr kumimoji="1" lang="en-US" altLang="ja-JP" sz="1100"/>
        </a:p>
        <a:p>
          <a:r>
            <a:rPr kumimoji="1" lang="ja-JP" altLang="en-US" sz="1100"/>
            <a:t>・下水道施設の建設費に係る補助率は</a:t>
          </a:r>
          <a:r>
            <a:rPr kumimoji="1" lang="en-US" altLang="ja-JP" sz="1100"/>
            <a:t>0.55</a:t>
          </a:r>
          <a:r>
            <a:rPr kumimoji="1" lang="ja-JP" altLang="en-US" sz="1100"/>
            <a:t>、ごみ処理施設の建設費に係る補助率は</a:t>
          </a:r>
          <a:r>
            <a:rPr kumimoji="1" lang="en-US" altLang="ja-JP" sz="1100"/>
            <a:t>0.33</a:t>
          </a:r>
          <a:r>
            <a:rPr kumimoji="1" lang="ja-JP" altLang="en-US" sz="1100"/>
            <a:t>と設定する。</a:t>
          </a:r>
          <a:endParaRPr kumimoji="1" lang="en-US" altLang="ja-JP" sz="1100"/>
        </a:p>
        <a:p>
          <a:r>
            <a:rPr kumimoji="1" lang="ja-JP" altLang="en-US" sz="1100"/>
            <a:t>・生ごみの建設費は、下水道施設受入によるごみ処理施設の規模削減分を計上する。</a:t>
          </a:r>
          <a:endParaRPr kumimoji="1" lang="en-US" altLang="ja-JP" sz="1100"/>
        </a:p>
        <a:p>
          <a:endParaRPr kumimoji="1" lang="en-US" altLang="ja-JP" sz="1100"/>
        </a:p>
      </xdr:txBody>
    </xdr:sp>
    <xdr:clientData/>
  </xdr:twoCellAnchor>
  <xdr:twoCellAnchor>
    <xdr:from>
      <xdr:col>19</xdr:col>
      <xdr:colOff>293007</xdr:colOff>
      <xdr:row>41</xdr:row>
      <xdr:rowOff>111125</xdr:rowOff>
    </xdr:from>
    <xdr:to>
      <xdr:col>37</xdr:col>
      <xdr:colOff>235114</xdr:colOff>
      <xdr:row>64</xdr:row>
      <xdr:rowOff>107500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41275</xdr:colOff>
      <xdr:row>41</xdr:row>
      <xdr:rowOff>123825</xdr:rowOff>
    </xdr:from>
    <xdr:to>
      <xdr:col>18</xdr:col>
      <xdr:colOff>300882</xdr:colOff>
      <xdr:row>64</xdr:row>
      <xdr:rowOff>72575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694;&#29366;&#12398;&#35430;&#31639;&#12484;&#12540;&#12523;/kanitoo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はじめに"/>
      <sheetName val="事業費（導入）【発電機有】"/>
      <sheetName val="②処理フロー（イメージ）"/>
      <sheetName val="⑤基本情報入力"/>
      <sheetName val="データ入力"/>
      <sheetName val="⑥算定結果"/>
      <sheetName val="⑦入力参考値"/>
      <sheetName val="③基本情報入力【例】"/>
      <sheetName val="④算定結果【例】"/>
      <sheetName val="物質収支"/>
      <sheetName val="計算条件"/>
      <sheetName val="施設規模の設定"/>
      <sheetName val="事業費（既存）"/>
      <sheetName val="事業費（いしかわモデル導入）"/>
      <sheetName val="計算シート【例】"/>
      <sheetName val="物質収支【例】"/>
      <sheetName val="計算条件【例】"/>
      <sheetName val="施設規模の設定【例】"/>
      <sheetName val="事業費（既存）【例】"/>
      <sheetName val="事業費（いしかわモデル導入）【例】"/>
      <sheetName val="算定結果【】"/>
    </sheetNames>
    <sheetDataSet>
      <sheetData sheetId="0"/>
      <sheetData sheetId="1"/>
      <sheetData sheetId="2"/>
      <sheetData sheetId="3"/>
      <sheetData sheetId="4"/>
      <sheetData sheetId="5">
        <row r="5">
          <cell r="AQ5" t="str">
            <v>既存処理体系</v>
          </cell>
          <cell r="AR5" t="str">
            <v>いしかわモデル導入</v>
          </cell>
        </row>
        <row r="6">
          <cell r="AO6" t="str">
            <v>建設費</v>
          </cell>
          <cell r="AQ6">
            <v>123.69082894252087</v>
          </cell>
          <cell r="AR6">
            <v>140.77226927964716</v>
          </cell>
        </row>
        <row r="7">
          <cell r="J7">
            <v>864.58998633403064</v>
          </cell>
          <cell r="O7">
            <v>1211.7600000000002</v>
          </cell>
          <cell r="T7">
            <v>0</v>
          </cell>
          <cell r="AD7">
            <v>2076.3499863340307</v>
          </cell>
          <cell r="AI7">
            <v>100</v>
          </cell>
          <cell r="AO7"/>
          <cell r="AQ7">
            <v>93.414525677339398</v>
          </cell>
          <cell r="AR7">
            <v>40.066653074734838</v>
          </cell>
        </row>
        <row r="8">
          <cell r="J8">
            <v>389</v>
          </cell>
          <cell r="O8">
            <v>1212</v>
          </cell>
          <cell r="T8">
            <v>0</v>
          </cell>
          <cell r="AD8">
            <v>1601</v>
          </cell>
          <cell r="AI8">
            <v>100</v>
          </cell>
          <cell r="AO8" t="str">
            <v>維持管理費</v>
          </cell>
          <cell r="AQ8">
            <v>152.82596823911695</v>
          </cell>
          <cell r="AR8">
            <v>140.1462350664622</v>
          </cell>
        </row>
        <row r="9">
          <cell r="AO9" t="str">
            <v>収集運搬費</v>
          </cell>
          <cell r="AP9"/>
          <cell r="AQ9">
            <v>171.6</v>
          </cell>
          <cell r="AR9">
            <v>176.7</v>
          </cell>
        </row>
        <row r="10">
          <cell r="J10">
            <v>55.04782411851177</v>
          </cell>
          <cell r="O10">
            <v>68.643004824009097</v>
          </cell>
          <cell r="T10">
            <v>0</v>
          </cell>
          <cell r="AD10">
            <v>123.69082894252087</v>
          </cell>
          <cell r="AI10">
            <v>100</v>
          </cell>
          <cell r="AO10" t="str">
            <v>処分費</v>
          </cell>
          <cell r="AQ10">
            <v>186.29999999999998</v>
          </cell>
          <cell r="AR10">
            <v>0</v>
          </cell>
        </row>
        <row r="11">
          <cell r="J11">
            <v>36.668368239116944</v>
          </cell>
          <cell r="O11">
            <v>116.15760000000002</v>
          </cell>
          <cell r="T11">
            <v>0</v>
          </cell>
          <cell r="AD11">
            <v>152.82596823911695</v>
          </cell>
          <cell r="AI11">
            <v>100</v>
          </cell>
          <cell r="AQ11">
            <v>634.41679718163778</v>
          </cell>
          <cell r="AR11">
            <v>457.61850434610932</v>
          </cell>
        </row>
        <row r="12">
          <cell r="J12">
            <v>0</v>
          </cell>
          <cell r="O12">
            <v>154.6</v>
          </cell>
          <cell r="T12">
            <v>17</v>
          </cell>
          <cell r="AD12">
            <v>171.6</v>
          </cell>
          <cell r="AI12">
            <v>100</v>
          </cell>
          <cell r="AQ12">
            <v>604.14049391645631</v>
          </cell>
          <cell r="AR12">
            <v>356.91288814119702</v>
          </cell>
        </row>
        <row r="13">
          <cell r="J13">
            <v>24.4</v>
          </cell>
          <cell r="O13">
            <v>108.8</v>
          </cell>
          <cell r="T13">
            <v>53.1</v>
          </cell>
          <cell r="AD13">
            <v>186.29999999999998</v>
          </cell>
          <cell r="AI13">
            <v>100</v>
          </cell>
        </row>
        <row r="14">
          <cell r="J14">
            <v>116.11619235762871</v>
          </cell>
          <cell r="O14">
            <v>448.20060482400908</v>
          </cell>
          <cell r="T14">
            <v>70.099999999999994</v>
          </cell>
          <cell r="AD14">
            <v>634.41679718163778</v>
          </cell>
          <cell r="AI14">
            <v>100</v>
          </cell>
        </row>
        <row r="15">
          <cell r="J15">
            <v>85.839889092447237</v>
          </cell>
          <cell r="O15">
            <v>448.20060482400908</v>
          </cell>
          <cell r="T15">
            <v>70.099999999999994</v>
          </cell>
          <cell r="AD15">
            <v>604.14049391645631</v>
          </cell>
          <cell r="AI15">
            <v>100</v>
          </cell>
        </row>
        <row r="20">
          <cell r="J20">
            <v>3265.2320123612299</v>
          </cell>
          <cell r="O20">
            <v>0</v>
          </cell>
          <cell r="T20">
            <v>-590.98176479999995</v>
          </cell>
          <cell r="AD20">
            <v>2674.25024756123</v>
          </cell>
          <cell r="AI20">
            <v>128.79573603498523</v>
          </cell>
        </row>
        <row r="21">
          <cell r="J21">
            <v>1469</v>
          </cell>
          <cell r="O21">
            <v>0</v>
          </cell>
          <cell r="T21">
            <v>-396</v>
          </cell>
          <cell r="AD21">
            <v>1073</v>
          </cell>
          <cell r="AI21">
            <v>67.020612117426609</v>
          </cell>
        </row>
        <row r="23">
          <cell r="J23">
            <v>183.10112037256786</v>
          </cell>
          <cell r="O23">
            <v>0</v>
          </cell>
          <cell r="T23">
            <v>-42.328851092920708</v>
          </cell>
          <cell r="AD23">
            <v>140.77226927964716</v>
          </cell>
          <cell r="AI23">
            <v>113.80978726002722</v>
          </cell>
        </row>
        <row r="24">
          <cell r="J24">
            <v>140.1462350664622</v>
          </cell>
          <cell r="O24">
            <v>0</v>
          </cell>
          <cell r="T24">
            <v>0</v>
          </cell>
          <cell r="AD24">
            <v>140.1462350664622</v>
          </cell>
          <cell r="AI24">
            <v>91.703155348039019</v>
          </cell>
        </row>
        <row r="25">
          <cell r="J25">
            <v>5.0999999999999996</v>
          </cell>
          <cell r="O25">
            <v>154.6</v>
          </cell>
          <cell r="T25">
            <v>17</v>
          </cell>
          <cell r="AD25">
            <v>176.7</v>
          </cell>
          <cell r="AI25">
            <v>102.97202797202797</v>
          </cell>
        </row>
        <row r="26">
          <cell r="J26">
            <v>0</v>
          </cell>
          <cell r="O26">
            <v>0</v>
          </cell>
          <cell r="T26">
            <v>0</v>
          </cell>
          <cell r="AD26">
            <v>0</v>
          </cell>
          <cell r="AI26">
            <v>0</v>
          </cell>
        </row>
        <row r="27">
          <cell r="J27">
            <v>328.34735543903008</v>
          </cell>
          <cell r="O27">
            <v>154.6</v>
          </cell>
          <cell r="T27">
            <v>-25.328851092920708</v>
          </cell>
          <cell r="AD27">
            <v>457.61850434610932</v>
          </cell>
          <cell r="AI27">
            <v>72.132154504586694</v>
          </cell>
        </row>
        <row r="28">
          <cell r="J28">
            <v>227.64173923411775</v>
          </cell>
          <cell r="O28">
            <v>154.6</v>
          </cell>
          <cell r="T28">
            <v>-25.328851092920708</v>
          </cell>
          <cell r="AD28">
            <v>356.91288814119702</v>
          </cell>
          <cell r="AI28">
            <v>59.077795932439649</v>
          </cell>
        </row>
        <row r="44">
          <cell r="E44" t="str">
            <v>「いしかわモデル」の導入による、事業費の低減が期待できます。</v>
          </cell>
        </row>
        <row r="46">
          <cell r="B46" t="str">
            <v/>
          </cell>
          <cell r="E46" t="str">
            <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CF123"/>
  <sheetViews>
    <sheetView workbookViewId="0"/>
  </sheetViews>
  <sheetFormatPr defaultRowHeight="14.25"/>
  <cols>
    <col min="1" max="2" width="3.625" style="528" customWidth="1"/>
    <col min="3" max="3" width="3.625" style="526" customWidth="1"/>
    <col min="4" max="4" width="3.625" style="527" customWidth="1"/>
    <col min="5" max="180" width="3.625" style="528" customWidth="1"/>
    <col min="181" max="16384" width="9" style="528"/>
  </cols>
  <sheetData>
    <row r="3" spans="3:84" ht="14.25" customHeight="1" thickBot="1"/>
    <row r="4" spans="3:84" ht="13.5" customHeight="1">
      <c r="R4" s="529"/>
      <c r="S4" s="863" t="s">
        <v>729</v>
      </c>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c r="CB4" s="530"/>
      <c r="CC4" s="530"/>
      <c r="CD4" s="530"/>
      <c r="CE4" s="530"/>
      <c r="CF4" s="531"/>
    </row>
    <row r="5" spans="3:84" ht="15" customHeight="1">
      <c r="R5" s="241"/>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532"/>
      <c r="AZ5" s="533"/>
      <c r="BA5" s="533"/>
      <c r="BB5" s="533"/>
      <c r="BC5" s="533"/>
      <c r="BD5" s="533"/>
      <c r="BE5" s="532"/>
      <c r="BF5" s="532"/>
      <c r="BG5" s="532"/>
      <c r="BH5" s="532"/>
      <c r="BI5" s="532"/>
      <c r="BJ5" s="532"/>
      <c r="BK5" s="532"/>
      <c r="BL5" s="532"/>
      <c r="BM5" s="532"/>
      <c r="BN5" s="532"/>
      <c r="BO5" s="532"/>
      <c r="BP5" s="532"/>
      <c r="BQ5" s="532"/>
      <c r="BR5" s="532"/>
      <c r="BS5" s="532"/>
      <c r="BT5" s="532"/>
      <c r="BU5" s="532"/>
      <c r="BV5" s="532"/>
      <c r="BW5" s="532"/>
      <c r="BX5" s="532"/>
      <c r="BY5" s="532"/>
      <c r="BZ5" s="532"/>
      <c r="CA5" s="532"/>
      <c r="CB5" s="532"/>
      <c r="CC5" s="532"/>
      <c r="CD5" s="532"/>
      <c r="CE5" s="532"/>
      <c r="CF5" s="534"/>
    </row>
    <row r="6" spans="3:84" ht="15" customHeight="1">
      <c r="R6" s="535"/>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4"/>
      <c r="AY6" s="532"/>
      <c r="AZ6" s="533"/>
      <c r="BA6" s="533"/>
      <c r="BB6" s="533"/>
      <c r="BC6" s="533"/>
      <c r="BD6" s="533"/>
      <c r="BE6" s="532"/>
      <c r="BF6" s="532"/>
      <c r="BG6" s="532"/>
      <c r="BH6" s="532"/>
      <c r="BI6" s="532"/>
      <c r="BJ6" s="532"/>
      <c r="BK6" s="532"/>
      <c r="BL6" s="532"/>
      <c r="BM6" s="532"/>
      <c r="BN6" s="532"/>
      <c r="BO6" s="532"/>
      <c r="BP6" s="532"/>
      <c r="BQ6" s="532"/>
      <c r="BR6" s="532"/>
      <c r="BS6" s="532"/>
      <c r="BT6" s="532"/>
      <c r="BU6" s="532"/>
      <c r="BV6" s="532"/>
      <c r="BW6" s="532"/>
      <c r="BX6" s="532"/>
      <c r="BY6" s="532"/>
      <c r="BZ6" s="532"/>
      <c r="CA6" s="532"/>
      <c r="CB6" s="532"/>
      <c r="CC6" s="532"/>
      <c r="CD6" s="532"/>
      <c r="CE6" s="532"/>
      <c r="CF6" s="534"/>
    </row>
    <row r="7" spans="3:84" ht="15" customHeight="1" thickBot="1">
      <c r="R7" s="535"/>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2"/>
      <c r="AZ7" s="533"/>
      <c r="BA7" s="533"/>
      <c r="BB7" s="533"/>
      <c r="BC7" s="533"/>
      <c r="BD7" s="533"/>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532"/>
      <c r="CC7" s="532"/>
      <c r="CD7" s="532"/>
      <c r="CE7" s="532"/>
      <c r="CF7" s="534"/>
    </row>
    <row r="8" spans="3:84" ht="24">
      <c r="R8" s="535"/>
      <c r="S8" s="865" t="s">
        <v>730</v>
      </c>
      <c r="T8" s="866"/>
      <c r="U8" s="866"/>
      <c r="V8" s="866"/>
      <c r="W8" s="866"/>
      <c r="X8" s="867"/>
      <c r="Y8" s="533"/>
      <c r="Z8" s="874" t="s">
        <v>731</v>
      </c>
      <c r="AA8" s="875"/>
      <c r="AB8" s="875"/>
      <c r="AC8" s="875"/>
      <c r="AD8" s="875"/>
      <c r="AE8" s="875"/>
      <c r="AF8" s="876"/>
      <c r="AG8" s="533"/>
      <c r="AH8" s="533"/>
      <c r="AI8" s="533"/>
      <c r="AJ8" s="533"/>
      <c r="AK8" s="533"/>
      <c r="AL8" s="533"/>
      <c r="AM8" s="533"/>
      <c r="AN8" s="537"/>
      <c r="AO8" s="537"/>
      <c r="AP8" s="537"/>
      <c r="AQ8" s="537"/>
      <c r="AR8" s="537"/>
      <c r="AS8" s="537"/>
      <c r="AT8" s="537"/>
      <c r="AU8" s="537"/>
      <c r="AV8" s="537"/>
      <c r="AW8" s="537"/>
      <c r="AX8" s="537"/>
      <c r="AY8" s="537"/>
      <c r="AZ8" s="537"/>
      <c r="BA8" s="537"/>
      <c r="BB8" s="537"/>
      <c r="BC8" s="537"/>
      <c r="BD8" s="537"/>
      <c r="BE8" s="537"/>
      <c r="BF8" s="537"/>
      <c r="BG8" s="537"/>
      <c r="BH8" s="537"/>
      <c r="BI8" s="537"/>
      <c r="BJ8" s="537"/>
      <c r="BK8" s="537"/>
      <c r="BL8" s="537"/>
      <c r="BM8" s="537"/>
      <c r="BN8" s="537"/>
      <c r="BO8" s="537"/>
      <c r="BP8" s="537"/>
      <c r="BQ8" s="537"/>
      <c r="BR8" s="537"/>
      <c r="BS8" s="537"/>
      <c r="BT8" s="537"/>
      <c r="BU8" s="537"/>
      <c r="BV8" s="537"/>
      <c r="BW8" s="537"/>
      <c r="BX8" s="537"/>
      <c r="BY8" s="537"/>
      <c r="BZ8" s="537"/>
      <c r="CA8" s="537"/>
      <c r="CB8" s="537"/>
      <c r="CC8" s="537"/>
      <c r="CD8" s="537"/>
      <c r="CE8" s="537"/>
      <c r="CF8" s="534"/>
    </row>
    <row r="9" spans="3:84">
      <c r="R9" s="535"/>
      <c r="S9" s="868"/>
      <c r="T9" s="869"/>
      <c r="U9" s="869"/>
      <c r="V9" s="869"/>
      <c r="W9" s="869"/>
      <c r="X9" s="870"/>
      <c r="Y9" s="533"/>
      <c r="Z9" s="877"/>
      <c r="AA9" s="878"/>
      <c r="AB9" s="878"/>
      <c r="AC9" s="878"/>
      <c r="AD9" s="878"/>
      <c r="AE9" s="878"/>
      <c r="AF9" s="879"/>
      <c r="AG9" s="533"/>
      <c r="AH9" s="533"/>
      <c r="AI9" s="533"/>
      <c r="AJ9" s="533"/>
      <c r="AK9" s="533"/>
      <c r="AL9" s="533"/>
      <c r="AM9" s="533"/>
      <c r="AN9" s="533"/>
      <c r="AO9" s="533"/>
      <c r="AP9" s="533"/>
      <c r="AQ9" s="533"/>
      <c r="AR9" s="533"/>
      <c r="AS9" s="533"/>
      <c r="AT9" s="533"/>
      <c r="AU9" s="533"/>
      <c r="AV9" s="533"/>
      <c r="AW9" s="533"/>
      <c r="AX9" s="533"/>
      <c r="AY9" s="533"/>
      <c r="AZ9" s="533"/>
      <c r="BA9" s="533"/>
      <c r="BB9" s="533"/>
      <c r="BC9" s="533"/>
      <c r="BD9" s="533"/>
      <c r="BE9" s="533"/>
      <c r="BF9" s="533"/>
      <c r="BG9" s="533"/>
      <c r="BH9" s="533"/>
      <c r="BI9" s="533"/>
      <c r="BJ9" s="533"/>
      <c r="BK9" s="533"/>
      <c r="BL9" s="533"/>
      <c r="BM9" s="533"/>
      <c r="BN9" s="533"/>
      <c r="BO9" s="533"/>
      <c r="BP9" s="533"/>
      <c r="BQ9" s="533"/>
      <c r="BR9" s="533"/>
      <c r="BS9" s="533"/>
      <c r="BT9" s="533"/>
      <c r="BU9" s="533"/>
      <c r="BV9" s="533"/>
      <c r="BW9" s="533"/>
      <c r="BX9" s="533"/>
      <c r="BY9" s="533"/>
      <c r="BZ9" s="533"/>
      <c r="CA9" s="533"/>
      <c r="CB9" s="533"/>
      <c r="CC9" s="533"/>
      <c r="CD9" s="533"/>
      <c r="CE9" s="533"/>
      <c r="CF9" s="534"/>
    </row>
    <row r="10" spans="3:84" ht="15" thickBot="1">
      <c r="R10" s="535"/>
      <c r="S10" s="871"/>
      <c r="T10" s="872"/>
      <c r="U10" s="872"/>
      <c r="V10" s="872"/>
      <c r="W10" s="872"/>
      <c r="X10" s="873"/>
      <c r="Y10" s="533"/>
      <c r="Z10" s="880"/>
      <c r="AA10" s="881"/>
      <c r="AB10" s="881"/>
      <c r="AC10" s="881"/>
      <c r="AD10" s="881"/>
      <c r="AE10" s="881"/>
      <c r="AF10" s="882"/>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533"/>
      <c r="BK10" s="533"/>
      <c r="BL10" s="533"/>
      <c r="BM10" s="533"/>
      <c r="BN10" s="533"/>
      <c r="BO10" s="533"/>
      <c r="BP10" s="533"/>
      <c r="BQ10" s="533"/>
      <c r="BR10" s="533"/>
      <c r="BS10" s="533"/>
      <c r="BT10" s="533"/>
      <c r="BU10" s="533"/>
      <c r="BV10" s="533"/>
      <c r="BW10" s="533"/>
      <c r="BX10" s="533"/>
      <c r="BY10" s="533"/>
      <c r="BZ10" s="533"/>
      <c r="CA10" s="533"/>
      <c r="CB10" s="533"/>
      <c r="CC10" s="533"/>
      <c r="CD10" s="533"/>
      <c r="CE10" s="533"/>
      <c r="CF10" s="534"/>
    </row>
    <row r="11" spans="3:84">
      <c r="C11" s="803"/>
      <c r="R11" s="535"/>
      <c r="S11" s="538"/>
      <c r="T11" s="538"/>
      <c r="U11" s="538"/>
      <c r="V11" s="538"/>
      <c r="W11" s="538"/>
      <c r="X11" s="538"/>
      <c r="Y11" s="533"/>
      <c r="Z11" s="539"/>
      <c r="AA11" s="539"/>
      <c r="AB11" s="539"/>
      <c r="AC11" s="539"/>
      <c r="AD11" s="539"/>
      <c r="AE11" s="539"/>
      <c r="AF11" s="539"/>
      <c r="AG11" s="533"/>
      <c r="AH11" s="533"/>
      <c r="AI11" s="533"/>
      <c r="AJ11" s="533"/>
      <c r="AK11" s="533"/>
      <c r="AL11" s="533"/>
      <c r="AM11" s="533"/>
      <c r="AN11" s="533"/>
      <c r="AO11" s="533"/>
      <c r="AP11" s="533"/>
      <c r="AQ11" s="533"/>
      <c r="AR11" s="533"/>
      <c r="AS11" s="533"/>
      <c r="AT11" s="533"/>
      <c r="AU11" s="533"/>
      <c r="AV11" s="533"/>
      <c r="AW11" s="533"/>
      <c r="AX11" s="533"/>
      <c r="AY11" s="533"/>
      <c r="AZ11" s="533"/>
      <c r="BA11" s="533"/>
      <c r="BB11" s="533"/>
      <c r="BC11" s="533"/>
      <c r="BD11" s="533"/>
      <c r="BE11" s="533"/>
      <c r="BF11" s="533"/>
      <c r="BG11" s="533"/>
      <c r="BH11" s="533"/>
      <c r="BI11" s="533"/>
      <c r="BJ11" s="533"/>
      <c r="BK11" s="533"/>
      <c r="BL11" s="533"/>
      <c r="BM11" s="533"/>
      <c r="BN11" s="533"/>
      <c r="BO11" s="533"/>
      <c r="BP11" s="533"/>
      <c r="BQ11" s="533"/>
      <c r="BR11" s="533"/>
      <c r="BS11" s="533"/>
      <c r="BT11" s="533"/>
      <c r="BU11" s="533"/>
      <c r="BV11" s="533"/>
      <c r="BW11" s="533"/>
      <c r="BX11" s="533"/>
      <c r="BY11" s="533"/>
      <c r="BZ11" s="533"/>
      <c r="CA11" s="533"/>
      <c r="CB11" s="533"/>
      <c r="CC11" s="533"/>
      <c r="CD11" s="533"/>
      <c r="CE11" s="533"/>
      <c r="CF11" s="534"/>
    </row>
    <row r="12" spans="3:84" ht="13.5" customHeight="1">
      <c r="C12" s="803"/>
      <c r="R12" s="535"/>
      <c r="S12" s="759" t="s">
        <v>732</v>
      </c>
      <c r="T12" s="759"/>
      <c r="U12" s="759"/>
      <c r="V12" s="759"/>
      <c r="W12" s="759"/>
      <c r="X12" s="759"/>
      <c r="Y12" s="759"/>
      <c r="Z12" s="759"/>
      <c r="AA12" s="759"/>
      <c r="AB12" s="759"/>
      <c r="AC12" s="759"/>
      <c r="AD12" s="759"/>
      <c r="AE12" s="759"/>
      <c r="AF12" s="759"/>
      <c r="AG12" s="759"/>
      <c r="AH12" s="759"/>
      <c r="AI12" s="759"/>
      <c r="AJ12" s="759"/>
      <c r="AK12" s="759"/>
      <c r="AL12" s="759"/>
      <c r="AM12" s="759"/>
      <c r="AN12" s="759"/>
      <c r="AO12" s="759"/>
      <c r="AP12" s="759"/>
      <c r="AQ12" s="759"/>
      <c r="AR12" s="759"/>
      <c r="AS12" s="759"/>
      <c r="AT12" s="759"/>
      <c r="AU12" s="759"/>
      <c r="AV12" s="759"/>
      <c r="AW12" s="759"/>
      <c r="AX12" s="759"/>
      <c r="AY12" s="759"/>
      <c r="AZ12" s="759"/>
      <c r="BA12" s="759"/>
      <c r="BB12" s="759"/>
      <c r="BC12" s="759"/>
      <c r="BD12" s="759"/>
      <c r="BE12" s="759"/>
      <c r="BF12" s="759"/>
      <c r="BG12" s="759"/>
      <c r="BH12" s="759"/>
      <c r="BI12" s="759"/>
      <c r="BJ12" s="759"/>
      <c r="BK12" s="759"/>
      <c r="BL12" s="759"/>
      <c r="BM12" s="759"/>
      <c r="BN12" s="759"/>
      <c r="BO12" s="759"/>
      <c r="BP12" s="759"/>
      <c r="BQ12" s="759"/>
      <c r="BR12" s="759"/>
      <c r="BS12" s="759"/>
      <c r="BT12" s="759"/>
      <c r="BU12" s="759"/>
      <c r="BV12" s="759"/>
      <c r="BW12" s="759"/>
      <c r="BX12" s="759"/>
      <c r="BY12" s="759"/>
      <c r="BZ12" s="759"/>
      <c r="CA12" s="759"/>
      <c r="CB12" s="759"/>
      <c r="CC12" s="533"/>
      <c r="CD12" s="533"/>
      <c r="CE12" s="533"/>
      <c r="CF12" s="534"/>
    </row>
    <row r="13" spans="3:84" ht="15.95" customHeight="1" thickBot="1">
      <c r="C13" s="803"/>
      <c r="R13" s="535"/>
      <c r="S13" s="760"/>
      <c r="T13" s="760"/>
      <c r="U13" s="760"/>
      <c r="V13" s="760"/>
      <c r="W13" s="760"/>
      <c r="X13" s="760"/>
      <c r="Y13" s="760"/>
      <c r="Z13" s="760"/>
      <c r="AA13" s="760"/>
      <c r="AB13" s="760"/>
      <c r="AC13" s="760"/>
      <c r="AD13" s="760"/>
      <c r="AE13" s="760"/>
      <c r="AF13" s="760"/>
      <c r="AG13" s="760"/>
      <c r="AH13" s="760"/>
      <c r="AI13" s="760"/>
      <c r="AJ13" s="760"/>
      <c r="AK13" s="760"/>
      <c r="AL13" s="760"/>
      <c r="AM13" s="760"/>
      <c r="AN13" s="760"/>
      <c r="AO13" s="760"/>
      <c r="AP13" s="760"/>
      <c r="AQ13" s="760"/>
      <c r="AR13" s="760"/>
      <c r="AS13" s="760"/>
      <c r="AT13" s="760"/>
      <c r="AU13" s="760"/>
      <c r="AV13" s="760"/>
      <c r="AW13" s="760"/>
      <c r="AX13" s="760"/>
      <c r="AY13" s="760"/>
      <c r="AZ13" s="760"/>
      <c r="BA13" s="760"/>
      <c r="BB13" s="760"/>
      <c r="BC13" s="760"/>
      <c r="BD13" s="760"/>
      <c r="BE13" s="760"/>
      <c r="BF13" s="760"/>
      <c r="BG13" s="760"/>
      <c r="BH13" s="760"/>
      <c r="BI13" s="760"/>
      <c r="BJ13" s="760"/>
      <c r="BK13" s="760"/>
      <c r="BL13" s="760"/>
      <c r="BM13" s="760"/>
      <c r="BN13" s="760"/>
      <c r="BO13" s="760"/>
      <c r="BP13" s="760"/>
      <c r="BQ13" s="760"/>
      <c r="BR13" s="760"/>
      <c r="BS13" s="760"/>
      <c r="BT13" s="760"/>
      <c r="BU13" s="760"/>
      <c r="BV13" s="760"/>
      <c r="BW13" s="760"/>
      <c r="BX13" s="760"/>
      <c r="BY13" s="760"/>
      <c r="BZ13" s="760"/>
      <c r="CA13" s="760"/>
      <c r="CB13" s="760"/>
      <c r="CC13" s="533"/>
      <c r="CD13" s="533"/>
      <c r="CE13" s="533"/>
      <c r="CF13" s="534"/>
    </row>
    <row r="14" spans="3:84" ht="15.95" customHeight="1">
      <c r="C14" s="803"/>
      <c r="R14" s="535"/>
      <c r="S14" s="815" t="s">
        <v>23</v>
      </c>
      <c r="T14" s="816"/>
      <c r="U14" s="816"/>
      <c r="V14" s="816"/>
      <c r="W14" s="816"/>
      <c r="X14" s="816"/>
      <c r="Y14" s="816"/>
      <c r="Z14" s="816" t="s">
        <v>24</v>
      </c>
      <c r="AA14" s="816"/>
      <c r="AB14" s="816"/>
      <c r="AC14" s="883" t="s">
        <v>733</v>
      </c>
      <c r="AD14" s="883"/>
      <c r="AE14" s="883"/>
      <c r="AF14" s="883"/>
      <c r="AG14" s="883"/>
      <c r="AH14" s="883"/>
      <c r="AI14" s="883"/>
      <c r="AJ14" s="883"/>
      <c r="AK14" s="883"/>
      <c r="AL14" s="883"/>
      <c r="AM14" s="843" t="s">
        <v>734</v>
      </c>
      <c r="AN14" s="843"/>
      <c r="AO14" s="843"/>
      <c r="AP14" s="843"/>
      <c r="AQ14" s="843"/>
      <c r="AR14" s="843"/>
      <c r="AS14" s="843"/>
      <c r="AT14" s="843"/>
      <c r="AU14" s="843"/>
      <c r="AV14" s="843"/>
      <c r="AW14" s="843"/>
      <c r="AX14" s="843"/>
      <c r="AY14" s="843"/>
      <c r="AZ14" s="843"/>
      <c r="BA14" s="843"/>
      <c r="BB14" s="843"/>
      <c r="BC14" s="843"/>
      <c r="BD14" s="843"/>
      <c r="BE14" s="843"/>
      <c r="BF14" s="843"/>
      <c r="BG14" s="843"/>
      <c r="BH14" s="843"/>
      <c r="BI14" s="843"/>
      <c r="BJ14" s="843"/>
      <c r="BK14" s="843"/>
      <c r="BL14" s="843"/>
      <c r="BM14" s="843"/>
      <c r="BN14" s="843"/>
      <c r="BO14" s="843"/>
      <c r="BP14" s="843"/>
      <c r="BQ14" s="844" t="s">
        <v>25</v>
      </c>
      <c r="BR14" s="844"/>
      <c r="BS14" s="844"/>
      <c r="BT14" s="844"/>
      <c r="BU14" s="844"/>
      <c r="BV14" s="844"/>
      <c r="BW14" s="844"/>
      <c r="BX14" s="844"/>
      <c r="BY14" s="844"/>
      <c r="BZ14" s="844"/>
      <c r="CA14" s="844"/>
      <c r="CB14" s="844"/>
      <c r="CC14" s="844"/>
      <c r="CD14" s="844"/>
      <c r="CE14" s="845"/>
      <c r="CF14" s="534"/>
    </row>
    <row r="15" spans="3:84" ht="15.95" customHeight="1">
      <c r="C15" s="803"/>
      <c r="R15" s="535"/>
      <c r="S15" s="817"/>
      <c r="T15" s="818"/>
      <c r="U15" s="818"/>
      <c r="V15" s="818"/>
      <c r="W15" s="818"/>
      <c r="X15" s="818"/>
      <c r="Y15" s="818"/>
      <c r="Z15" s="818"/>
      <c r="AA15" s="818"/>
      <c r="AB15" s="818"/>
      <c r="AC15" s="825" t="s">
        <v>735</v>
      </c>
      <c r="AD15" s="825"/>
      <c r="AE15" s="825"/>
      <c r="AF15" s="825"/>
      <c r="AG15" s="825"/>
      <c r="AH15" s="825"/>
      <c r="AI15" s="825"/>
      <c r="AJ15" s="825"/>
      <c r="AK15" s="825"/>
      <c r="AL15" s="825"/>
      <c r="AM15" s="825" t="s">
        <v>736</v>
      </c>
      <c r="AN15" s="825"/>
      <c r="AO15" s="825"/>
      <c r="AP15" s="825"/>
      <c r="AQ15" s="825"/>
      <c r="AR15" s="825" t="s">
        <v>737</v>
      </c>
      <c r="AS15" s="825"/>
      <c r="AT15" s="825"/>
      <c r="AU15" s="825"/>
      <c r="AV15" s="825"/>
      <c r="AW15" s="825" t="s">
        <v>738</v>
      </c>
      <c r="AX15" s="825"/>
      <c r="AY15" s="825"/>
      <c r="AZ15" s="825"/>
      <c r="BA15" s="825"/>
      <c r="BB15" s="825" t="s">
        <v>739</v>
      </c>
      <c r="BC15" s="825"/>
      <c r="BD15" s="825"/>
      <c r="BE15" s="825"/>
      <c r="BF15" s="825"/>
      <c r="BG15" s="825" t="s">
        <v>740</v>
      </c>
      <c r="BH15" s="825"/>
      <c r="BI15" s="825"/>
      <c r="BJ15" s="825"/>
      <c r="BK15" s="825"/>
      <c r="BL15" s="825" t="s">
        <v>741</v>
      </c>
      <c r="BM15" s="825"/>
      <c r="BN15" s="825"/>
      <c r="BO15" s="825"/>
      <c r="BP15" s="825"/>
      <c r="BQ15" s="846"/>
      <c r="BR15" s="846"/>
      <c r="BS15" s="846"/>
      <c r="BT15" s="846"/>
      <c r="BU15" s="846"/>
      <c r="BV15" s="846"/>
      <c r="BW15" s="846"/>
      <c r="BX15" s="846"/>
      <c r="BY15" s="846"/>
      <c r="BZ15" s="846"/>
      <c r="CA15" s="846"/>
      <c r="CB15" s="846"/>
      <c r="CC15" s="846"/>
      <c r="CD15" s="846"/>
      <c r="CE15" s="847"/>
      <c r="CF15" s="534"/>
    </row>
    <row r="16" spans="3:84" ht="15.95" customHeight="1">
      <c r="C16" s="803"/>
      <c r="R16" s="535"/>
      <c r="S16" s="837" t="s">
        <v>742</v>
      </c>
      <c r="T16" s="825" t="s">
        <v>275</v>
      </c>
      <c r="U16" s="825"/>
      <c r="V16" s="825"/>
      <c r="W16" s="825"/>
      <c r="X16" s="825"/>
      <c r="Y16" s="825"/>
      <c r="Z16" s="825"/>
      <c r="AA16" s="825"/>
      <c r="AB16" s="825"/>
      <c r="AC16" s="841" t="s">
        <v>549</v>
      </c>
      <c r="AD16" s="841"/>
      <c r="AE16" s="841"/>
      <c r="AF16" s="841"/>
      <c r="AG16" s="841"/>
      <c r="AH16" s="841"/>
      <c r="AI16" s="841"/>
      <c r="AJ16" s="841"/>
      <c r="AK16" s="841"/>
      <c r="AL16" s="841"/>
      <c r="AM16" s="841" t="s">
        <v>550</v>
      </c>
      <c r="AN16" s="841"/>
      <c r="AO16" s="841"/>
      <c r="AP16" s="841"/>
      <c r="AQ16" s="841"/>
      <c r="AR16" s="841" t="s">
        <v>550</v>
      </c>
      <c r="AS16" s="841"/>
      <c r="AT16" s="841"/>
      <c r="AU16" s="841"/>
      <c r="AV16" s="841"/>
      <c r="AW16" s="841" t="s">
        <v>551</v>
      </c>
      <c r="AX16" s="841"/>
      <c r="AY16" s="841"/>
      <c r="AZ16" s="841"/>
      <c r="BA16" s="841"/>
      <c r="BB16" s="841" t="s">
        <v>551</v>
      </c>
      <c r="BC16" s="841"/>
      <c r="BD16" s="841"/>
      <c r="BE16" s="841"/>
      <c r="BF16" s="841"/>
      <c r="BG16" s="841" t="s">
        <v>551</v>
      </c>
      <c r="BH16" s="841"/>
      <c r="BI16" s="841"/>
      <c r="BJ16" s="841"/>
      <c r="BK16" s="841"/>
      <c r="BL16" s="831" t="s">
        <v>743</v>
      </c>
      <c r="BM16" s="831"/>
      <c r="BN16" s="831"/>
      <c r="BO16" s="831"/>
      <c r="BP16" s="831"/>
      <c r="BQ16" s="833" t="s">
        <v>744</v>
      </c>
      <c r="BR16" s="833"/>
      <c r="BS16" s="833"/>
      <c r="BT16" s="833"/>
      <c r="BU16" s="833"/>
      <c r="BV16" s="833"/>
      <c r="BW16" s="833"/>
      <c r="BX16" s="833"/>
      <c r="BY16" s="833"/>
      <c r="BZ16" s="833"/>
      <c r="CA16" s="833"/>
      <c r="CB16" s="833"/>
      <c r="CC16" s="833"/>
      <c r="CD16" s="833"/>
      <c r="CE16" s="834"/>
      <c r="CF16" s="534"/>
    </row>
    <row r="17" spans="3:84" ht="15.95" customHeight="1">
      <c r="C17" s="803"/>
      <c r="R17" s="535"/>
      <c r="S17" s="837"/>
      <c r="T17" s="825"/>
      <c r="U17" s="825"/>
      <c r="V17" s="825"/>
      <c r="W17" s="825"/>
      <c r="X17" s="825"/>
      <c r="Y17" s="825"/>
      <c r="Z17" s="825"/>
      <c r="AA17" s="825"/>
      <c r="AB17" s="825"/>
      <c r="AC17" s="841"/>
      <c r="AD17" s="841"/>
      <c r="AE17" s="841"/>
      <c r="AF17" s="841"/>
      <c r="AG17" s="841"/>
      <c r="AH17" s="841"/>
      <c r="AI17" s="841"/>
      <c r="AJ17" s="841"/>
      <c r="AK17" s="841"/>
      <c r="AL17" s="841"/>
      <c r="AM17" s="841"/>
      <c r="AN17" s="841"/>
      <c r="AO17" s="841"/>
      <c r="AP17" s="841"/>
      <c r="AQ17" s="841"/>
      <c r="AR17" s="841"/>
      <c r="AS17" s="841"/>
      <c r="AT17" s="841"/>
      <c r="AU17" s="841"/>
      <c r="AV17" s="841"/>
      <c r="AW17" s="841"/>
      <c r="AX17" s="841"/>
      <c r="AY17" s="841"/>
      <c r="AZ17" s="841"/>
      <c r="BA17" s="841"/>
      <c r="BB17" s="841"/>
      <c r="BC17" s="841"/>
      <c r="BD17" s="841"/>
      <c r="BE17" s="841"/>
      <c r="BF17" s="841"/>
      <c r="BG17" s="841"/>
      <c r="BH17" s="841"/>
      <c r="BI17" s="841"/>
      <c r="BJ17" s="841"/>
      <c r="BK17" s="841"/>
      <c r="BL17" s="831"/>
      <c r="BM17" s="831"/>
      <c r="BN17" s="831"/>
      <c r="BO17" s="831"/>
      <c r="BP17" s="831"/>
      <c r="BQ17" s="833"/>
      <c r="BR17" s="833"/>
      <c r="BS17" s="833"/>
      <c r="BT17" s="833"/>
      <c r="BU17" s="833"/>
      <c r="BV17" s="833"/>
      <c r="BW17" s="833"/>
      <c r="BX17" s="833"/>
      <c r="BY17" s="833"/>
      <c r="BZ17" s="833"/>
      <c r="CA17" s="833"/>
      <c r="CB17" s="833"/>
      <c r="CC17" s="833"/>
      <c r="CD17" s="833"/>
      <c r="CE17" s="834"/>
      <c r="CF17" s="534"/>
    </row>
    <row r="18" spans="3:84" ht="15.95" customHeight="1">
      <c r="C18" s="803"/>
      <c r="R18" s="535"/>
      <c r="S18" s="837"/>
      <c r="T18" s="825" t="s">
        <v>458</v>
      </c>
      <c r="U18" s="825"/>
      <c r="V18" s="825"/>
      <c r="W18" s="825"/>
      <c r="X18" s="825"/>
      <c r="Y18" s="825"/>
      <c r="Z18" s="825" t="s">
        <v>745</v>
      </c>
      <c r="AA18" s="825"/>
      <c r="AB18" s="825"/>
      <c r="AC18" s="831" t="s">
        <v>553</v>
      </c>
      <c r="AD18" s="831"/>
      <c r="AE18" s="831"/>
      <c r="AF18" s="831"/>
      <c r="AG18" s="831"/>
      <c r="AH18" s="831"/>
      <c r="AI18" s="831"/>
      <c r="AJ18" s="831"/>
      <c r="AK18" s="831"/>
      <c r="AL18" s="831"/>
      <c r="AM18" s="831" t="s">
        <v>555</v>
      </c>
      <c r="AN18" s="831"/>
      <c r="AO18" s="831"/>
      <c r="AP18" s="831"/>
      <c r="AQ18" s="831"/>
      <c r="AR18" s="831" t="s">
        <v>554</v>
      </c>
      <c r="AS18" s="831"/>
      <c r="AT18" s="831"/>
      <c r="AU18" s="831"/>
      <c r="AV18" s="831"/>
      <c r="AW18" s="831" t="s">
        <v>556</v>
      </c>
      <c r="AX18" s="831"/>
      <c r="AY18" s="831"/>
      <c r="AZ18" s="831"/>
      <c r="BA18" s="831"/>
      <c r="BB18" s="831" t="s">
        <v>558</v>
      </c>
      <c r="BC18" s="831"/>
      <c r="BD18" s="831"/>
      <c r="BE18" s="831"/>
      <c r="BF18" s="831"/>
      <c r="BG18" s="831" t="s">
        <v>557</v>
      </c>
      <c r="BH18" s="831"/>
      <c r="BI18" s="831"/>
      <c r="BJ18" s="831"/>
      <c r="BK18" s="831"/>
      <c r="BL18" s="831" t="s">
        <v>746</v>
      </c>
      <c r="BM18" s="831"/>
      <c r="BN18" s="831"/>
      <c r="BO18" s="831"/>
      <c r="BP18" s="831"/>
      <c r="BQ18" s="833"/>
      <c r="BR18" s="833"/>
      <c r="BS18" s="833"/>
      <c r="BT18" s="833"/>
      <c r="BU18" s="833"/>
      <c r="BV18" s="833"/>
      <c r="BW18" s="833"/>
      <c r="BX18" s="833"/>
      <c r="BY18" s="833"/>
      <c r="BZ18" s="833"/>
      <c r="CA18" s="833"/>
      <c r="CB18" s="833"/>
      <c r="CC18" s="833"/>
      <c r="CD18" s="833"/>
      <c r="CE18" s="834"/>
      <c r="CF18" s="540"/>
    </row>
    <row r="19" spans="3:84" ht="15.95" customHeight="1">
      <c r="C19" s="803"/>
      <c r="R19" s="535"/>
      <c r="S19" s="837"/>
      <c r="T19" s="825"/>
      <c r="U19" s="825"/>
      <c r="V19" s="825"/>
      <c r="W19" s="825"/>
      <c r="X19" s="825"/>
      <c r="Y19" s="825"/>
      <c r="Z19" s="825"/>
      <c r="AA19" s="825"/>
      <c r="AB19" s="825"/>
      <c r="AC19" s="831"/>
      <c r="AD19" s="831"/>
      <c r="AE19" s="831"/>
      <c r="AF19" s="831"/>
      <c r="AG19" s="831"/>
      <c r="AH19" s="831"/>
      <c r="AI19" s="831"/>
      <c r="AJ19" s="831"/>
      <c r="AK19" s="831"/>
      <c r="AL19" s="831"/>
      <c r="AM19" s="831"/>
      <c r="AN19" s="831"/>
      <c r="AO19" s="831"/>
      <c r="AP19" s="831"/>
      <c r="AQ19" s="831"/>
      <c r="AR19" s="831"/>
      <c r="AS19" s="831"/>
      <c r="AT19" s="831"/>
      <c r="AU19" s="831"/>
      <c r="AV19" s="831"/>
      <c r="AW19" s="831"/>
      <c r="AX19" s="831"/>
      <c r="AY19" s="831"/>
      <c r="AZ19" s="831"/>
      <c r="BA19" s="831"/>
      <c r="BB19" s="831"/>
      <c r="BC19" s="831"/>
      <c r="BD19" s="831"/>
      <c r="BE19" s="831"/>
      <c r="BF19" s="831"/>
      <c r="BG19" s="831"/>
      <c r="BH19" s="831"/>
      <c r="BI19" s="831"/>
      <c r="BJ19" s="831"/>
      <c r="BK19" s="831"/>
      <c r="BL19" s="831"/>
      <c r="BM19" s="831"/>
      <c r="BN19" s="831"/>
      <c r="BO19" s="831"/>
      <c r="BP19" s="831"/>
      <c r="BQ19" s="833"/>
      <c r="BR19" s="833"/>
      <c r="BS19" s="833"/>
      <c r="BT19" s="833"/>
      <c r="BU19" s="833"/>
      <c r="BV19" s="833"/>
      <c r="BW19" s="833"/>
      <c r="BX19" s="833"/>
      <c r="BY19" s="833"/>
      <c r="BZ19" s="833"/>
      <c r="CA19" s="833"/>
      <c r="CB19" s="833"/>
      <c r="CC19" s="833"/>
      <c r="CD19" s="833"/>
      <c r="CE19" s="834"/>
      <c r="CF19" s="541"/>
    </row>
    <row r="20" spans="3:84" ht="15.95" customHeight="1">
      <c r="C20" s="803"/>
      <c r="R20" s="535"/>
      <c r="S20" s="837"/>
      <c r="T20" s="825" t="s">
        <v>158</v>
      </c>
      <c r="U20" s="825"/>
      <c r="V20" s="825"/>
      <c r="W20" s="825"/>
      <c r="X20" s="825"/>
      <c r="Y20" s="825"/>
      <c r="Z20" s="825" t="s">
        <v>747</v>
      </c>
      <c r="AA20" s="825"/>
      <c r="AB20" s="825"/>
      <c r="AC20" s="825" t="s">
        <v>196</v>
      </c>
      <c r="AD20" s="825"/>
      <c r="AE20" s="825"/>
      <c r="AF20" s="825"/>
      <c r="AG20" s="825"/>
      <c r="AH20" s="825" t="s">
        <v>279</v>
      </c>
      <c r="AI20" s="825"/>
      <c r="AJ20" s="825"/>
      <c r="AK20" s="825"/>
      <c r="AL20" s="825"/>
      <c r="AM20" s="841" t="s">
        <v>279</v>
      </c>
      <c r="AN20" s="841"/>
      <c r="AO20" s="841"/>
      <c r="AP20" s="841"/>
      <c r="AQ20" s="841"/>
      <c r="AR20" s="841" t="s">
        <v>748</v>
      </c>
      <c r="AS20" s="841"/>
      <c r="AT20" s="841"/>
      <c r="AU20" s="841"/>
      <c r="AV20" s="841"/>
      <c r="AW20" s="841" t="s">
        <v>748</v>
      </c>
      <c r="AX20" s="841"/>
      <c r="AY20" s="841"/>
      <c r="AZ20" s="841"/>
      <c r="BA20" s="841"/>
      <c r="BB20" s="841" t="s">
        <v>749</v>
      </c>
      <c r="BC20" s="841"/>
      <c r="BD20" s="841"/>
      <c r="BE20" s="841"/>
      <c r="BF20" s="841"/>
      <c r="BG20" s="841" t="s">
        <v>748</v>
      </c>
      <c r="BH20" s="841"/>
      <c r="BI20" s="841"/>
      <c r="BJ20" s="841"/>
      <c r="BK20" s="841"/>
      <c r="BL20" s="841" t="s">
        <v>748</v>
      </c>
      <c r="BM20" s="841"/>
      <c r="BN20" s="841"/>
      <c r="BO20" s="841"/>
      <c r="BP20" s="841"/>
      <c r="BQ20" s="833"/>
      <c r="BR20" s="833"/>
      <c r="BS20" s="833"/>
      <c r="BT20" s="833"/>
      <c r="BU20" s="833"/>
      <c r="BV20" s="833"/>
      <c r="BW20" s="833"/>
      <c r="BX20" s="833"/>
      <c r="BY20" s="833"/>
      <c r="BZ20" s="833"/>
      <c r="CA20" s="833"/>
      <c r="CB20" s="833"/>
      <c r="CC20" s="833"/>
      <c r="CD20" s="833"/>
      <c r="CE20" s="834"/>
      <c r="CF20" s="534"/>
    </row>
    <row r="21" spans="3:84" ht="15.95" customHeight="1">
      <c r="C21" s="803"/>
      <c r="R21" s="535"/>
      <c r="S21" s="837"/>
      <c r="T21" s="825"/>
      <c r="U21" s="825"/>
      <c r="V21" s="825"/>
      <c r="W21" s="825"/>
      <c r="X21" s="825"/>
      <c r="Y21" s="825"/>
      <c r="Z21" s="825"/>
      <c r="AA21" s="825"/>
      <c r="AB21" s="825"/>
      <c r="AC21" s="825"/>
      <c r="AD21" s="825"/>
      <c r="AE21" s="825"/>
      <c r="AF21" s="825"/>
      <c r="AG21" s="825"/>
      <c r="AH21" s="825"/>
      <c r="AI21" s="825"/>
      <c r="AJ21" s="825"/>
      <c r="AK21" s="825"/>
      <c r="AL21" s="825"/>
      <c r="AM21" s="841"/>
      <c r="AN21" s="841"/>
      <c r="AO21" s="841"/>
      <c r="AP21" s="841"/>
      <c r="AQ21" s="841"/>
      <c r="AR21" s="841"/>
      <c r="AS21" s="841"/>
      <c r="AT21" s="841"/>
      <c r="AU21" s="841"/>
      <c r="AV21" s="841"/>
      <c r="AW21" s="841"/>
      <c r="AX21" s="841"/>
      <c r="AY21" s="841"/>
      <c r="AZ21" s="841"/>
      <c r="BA21" s="841"/>
      <c r="BB21" s="841"/>
      <c r="BC21" s="841"/>
      <c r="BD21" s="841"/>
      <c r="BE21" s="841"/>
      <c r="BF21" s="841"/>
      <c r="BG21" s="841"/>
      <c r="BH21" s="841"/>
      <c r="BI21" s="841"/>
      <c r="BJ21" s="841"/>
      <c r="BK21" s="841"/>
      <c r="BL21" s="841"/>
      <c r="BM21" s="841"/>
      <c r="BN21" s="841"/>
      <c r="BO21" s="841"/>
      <c r="BP21" s="841"/>
      <c r="BQ21" s="833"/>
      <c r="BR21" s="833"/>
      <c r="BS21" s="833"/>
      <c r="BT21" s="833"/>
      <c r="BU21" s="833"/>
      <c r="BV21" s="833"/>
      <c r="BW21" s="833"/>
      <c r="BX21" s="833"/>
      <c r="BY21" s="833"/>
      <c r="BZ21" s="833"/>
      <c r="CA21" s="833"/>
      <c r="CB21" s="833"/>
      <c r="CC21" s="833"/>
      <c r="CD21" s="833"/>
      <c r="CE21" s="834"/>
      <c r="CF21" s="534"/>
    </row>
    <row r="22" spans="3:84" ht="15.95" customHeight="1">
      <c r="C22" s="803"/>
      <c r="R22" s="535"/>
      <c r="S22" s="837"/>
      <c r="T22" s="825" t="s">
        <v>332</v>
      </c>
      <c r="U22" s="825"/>
      <c r="V22" s="825"/>
      <c r="W22" s="825"/>
      <c r="X22" s="825"/>
      <c r="Y22" s="825"/>
      <c r="Z22" s="825" t="s">
        <v>329</v>
      </c>
      <c r="AA22" s="825"/>
      <c r="AB22" s="825"/>
      <c r="AC22" s="839">
        <v>31.1</v>
      </c>
      <c r="AD22" s="839"/>
      <c r="AE22" s="839"/>
      <c r="AF22" s="839"/>
      <c r="AG22" s="839"/>
      <c r="AH22" s="839">
        <v>2.5</v>
      </c>
      <c r="AI22" s="839"/>
      <c r="AJ22" s="839"/>
      <c r="AK22" s="839"/>
      <c r="AL22" s="839"/>
      <c r="AM22" s="839">
        <v>1</v>
      </c>
      <c r="AN22" s="839"/>
      <c r="AO22" s="839"/>
      <c r="AP22" s="839"/>
      <c r="AQ22" s="839"/>
      <c r="AR22" s="839">
        <v>0.7</v>
      </c>
      <c r="AS22" s="839"/>
      <c r="AT22" s="839"/>
      <c r="AU22" s="839"/>
      <c r="AV22" s="839"/>
      <c r="AW22" s="839">
        <v>0.5</v>
      </c>
      <c r="AX22" s="839"/>
      <c r="AY22" s="839"/>
      <c r="AZ22" s="839"/>
      <c r="BA22" s="839"/>
      <c r="BB22" s="839">
        <v>0.1</v>
      </c>
      <c r="BC22" s="839"/>
      <c r="BD22" s="839"/>
      <c r="BE22" s="839"/>
      <c r="BF22" s="839"/>
      <c r="BG22" s="839">
        <v>0.3</v>
      </c>
      <c r="BH22" s="839"/>
      <c r="BI22" s="839"/>
      <c r="BJ22" s="839"/>
      <c r="BK22" s="839"/>
      <c r="BL22" s="839">
        <v>0.5</v>
      </c>
      <c r="BM22" s="839"/>
      <c r="BN22" s="839"/>
      <c r="BO22" s="839"/>
      <c r="BP22" s="839"/>
      <c r="BQ22" s="833"/>
      <c r="BR22" s="833"/>
      <c r="BS22" s="833"/>
      <c r="BT22" s="833"/>
      <c r="BU22" s="833"/>
      <c r="BV22" s="833"/>
      <c r="BW22" s="833"/>
      <c r="BX22" s="833"/>
      <c r="BY22" s="833"/>
      <c r="BZ22" s="833"/>
      <c r="CA22" s="833"/>
      <c r="CB22" s="833"/>
      <c r="CC22" s="833"/>
      <c r="CD22" s="833"/>
      <c r="CE22" s="834"/>
      <c r="CF22" s="534"/>
    </row>
    <row r="23" spans="3:84" ht="15.95" customHeight="1" thickBot="1">
      <c r="C23" s="803"/>
      <c r="R23" s="535"/>
      <c r="S23" s="838"/>
      <c r="T23" s="827"/>
      <c r="U23" s="827"/>
      <c r="V23" s="827"/>
      <c r="W23" s="827"/>
      <c r="X23" s="827"/>
      <c r="Y23" s="827"/>
      <c r="Z23" s="827"/>
      <c r="AA23" s="827"/>
      <c r="AB23" s="827"/>
      <c r="AC23" s="840"/>
      <c r="AD23" s="840"/>
      <c r="AE23" s="840"/>
      <c r="AF23" s="840"/>
      <c r="AG23" s="840"/>
      <c r="AH23" s="840"/>
      <c r="AI23" s="840"/>
      <c r="AJ23" s="840"/>
      <c r="AK23" s="840"/>
      <c r="AL23" s="840"/>
      <c r="AM23" s="840"/>
      <c r="AN23" s="840"/>
      <c r="AO23" s="840"/>
      <c r="AP23" s="840"/>
      <c r="AQ23" s="840"/>
      <c r="AR23" s="840"/>
      <c r="AS23" s="840"/>
      <c r="AT23" s="840"/>
      <c r="AU23" s="840"/>
      <c r="AV23" s="840"/>
      <c r="AW23" s="840"/>
      <c r="AX23" s="840"/>
      <c r="AY23" s="840"/>
      <c r="AZ23" s="840"/>
      <c r="BA23" s="840"/>
      <c r="BB23" s="840"/>
      <c r="BC23" s="840"/>
      <c r="BD23" s="840"/>
      <c r="BE23" s="840"/>
      <c r="BF23" s="840"/>
      <c r="BG23" s="840"/>
      <c r="BH23" s="840"/>
      <c r="BI23" s="840"/>
      <c r="BJ23" s="840"/>
      <c r="BK23" s="840"/>
      <c r="BL23" s="840"/>
      <c r="BM23" s="840"/>
      <c r="BN23" s="840"/>
      <c r="BO23" s="840"/>
      <c r="BP23" s="840"/>
      <c r="BQ23" s="835"/>
      <c r="BR23" s="835"/>
      <c r="BS23" s="835"/>
      <c r="BT23" s="835"/>
      <c r="BU23" s="835"/>
      <c r="BV23" s="835"/>
      <c r="BW23" s="835"/>
      <c r="BX23" s="835"/>
      <c r="BY23" s="835"/>
      <c r="BZ23" s="835"/>
      <c r="CA23" s="835"/>
      <c r="CB23" s="835"/>
      <c r="CC23" s="835"/>
      <c r="CD23" s="835"/>
      <c r="CE23" s="836"/>
      <c r="CF23" s="534"/>
    </row>
    <row r="24" spans="3:84" ht="15.95" customHeight="1">
      <c r="C24" s="803"/>
      <c r="R24" s="535"/>
      <c r="S24" s="542"/>
      <c r="T24" s="543"/>
      <c r="U24" s="543"/>
      <c r="V24" s="543"/>
      <c r="W24" s="543"/>
      <c r="X24" s="543"/>
      <c r="Y24" s="543"/>
      <c r="Z24" s="543"/>
      <c r="AA24" s="543"/>
      <c r="AB24" s="543"/>
      <c r="AC24" s="544"/>
      <c r="AD24" s="544"/>
      <c r="AE24" s="544"/>
      <c r="AF24" s="544"/>
      <c r="AG24" s="544"/>
      <c r="AH24" s="544"/>
      <c r="AI24" s="544"/>
      <c r="AJ24" s="544"/>
      <c r="AK24" s="544"/>
      <c r="AL24" s="544"/>
      <c r="AM24" s="544"/>
      <c r="AN24" s="544"/>
      <c r="AO24" s="544"/>
      <c r="AP24" s="544"/>
      <c r="AQ24" s="544"/>
      <c r="AR24" s="544"/>
      <c r="AS24" s="544"/>
      <c r="AT24" s="544"/>
      <c r="AU24" s="544"/>
      <c r="AV24" s="544"/>
      <c r="AW24" s="544"/>
      <c r="AX24" s="544"/>
      <c r="AY24" s="544"/>
      <c r="AZ24" s="544"/>
      <c r="BA24" s="544"/>
      <c r="BB24" s="544"/>
      <c r="BC24" s="544"/>
      <c r="BD24" s="544"/>
      <c r="BE24" s="544"/>
      <c r="BF24" s="544"/>
      <c r="BG24" s="544"/>
      <c r="BH24" s="544"/>
      <c r="BI24" s="544"/>
      <c r="BJ24" s="544"/>
      <c r="BK24" s="544"/>
      <c r="BL24" s="544"/>
      <c r="BM24" s="544"/>
      <c r="BN24" s="544"/>
      <c r="BO24" s="544"/>
      <c r="BP24" s="544"/>
      <c r="BQ24" s="545"/>
      <c r="BR24" s="545"/>
      <c r="BS24" s="545"/>
      <c r="BT24" s="545"/>
      <c r="BU24" s="545"/>
      <c r="BV24" s="545"/>
      <c r="BW24" s="545"/>
      <c r="BX24" s="545"/>
      <c r="BY24" s="545"/>
      <c r="BZ24" s="545"/>
      <c r="CA24" s="545"/>
      <c r="CB24" s="545"/>
      <c r="CC24" s="546"/>
      <c r="CD24" s="546"/>
      <c r="CE24" s="546"/>
      <c r="CF24" s="534"/>
    </row>
    <row r="25" spans="3:84" ht="15.95" customHeight="1">
      <c r="C25" s="803"/>
      <c r="R25" s="535"/>
      <c r="S25" s="759" t="s">
        <v>750</v>
      </c>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759"/>
      <c r="BK25" s="759"/>
      <c r="BL25" s="759"/>
      <c r="BM25" s="759"/>
      <c r="BN25" s="759"/>
      <c r="BO25" s="533"/>
      <c r="BP25" s="533"/>
      <c r="BQ25" s="533"/>
      <c r="BR25" s="533"/>
      <c r="BS25" s="533"/>
      <c r="BT25" s="533"/>
      <c r="BU25" s="533"/>
      <c r="BV25" s="533"/>
      <c r="BW25" s="533"/>
      <c r="BX25" s="533"/>
      <c r="BY25" s="533"/>
      <c r="BZ25" s="533"/>
      <c r="CA25" s="533"/>
      <c r="CB25" s="533"/>
      <c r="CC25" s="533"/>
      <c r="CD25" s="533"/>
      <c r="CE25" s="533"/>
      <c r="CF25" s="534"/>
    </row>
    <row r="26" spans="3:84" ht="15.95" customHeight="1" thickBot="1">
      <c r="C26" s="803"/>
      <c r="R26" s="535"/>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59"/>
      <c r="BB26" s="759"/>
      <c r="BC26" s="759"/>
      <c r="BD26" s="759"/>
      <c r="BE26" s="759"/>
      <c r="BF26" s="759"/>
      <c r="BG26" s="759"/>
      <c r="BH26" s="759"/>
      <c r="BI26" s="759"/>
      <c r="BJ26" s="759"/>
      <c r="BK26" s="759"/>
      <c r="BL26" s="759"/>
      <c r="BM26" s="759"/>
      <c r="BN26" s="759"/>
      <c r="BO26" s="533"/>
      <c r="BP26" s="533"/>
      <c r="BQ26" s="533"/>
      <c r="BR26" s="533"/>
      <c r="BS26" s="533"/>
      <c r="BT26" s="533"/>
      <c r="BU26" s="533"/>
      <c r="BV26" s="533"/>
      <c r="BW26" s="533"/>
      <c r="BX26" s="533"/>
      <c r="BY26" s="533"/>
      <c r="BZ26" s="533"/>
      <c r="CA26" s="533"/>
      <c r="CB26" s="533"/>
      <c r="CC26" s="533"/>
      <c r="CD26" s="533"/>
      <c r="CE26" s="533"/>
      <c r="CF26" s="534"/>
    </row>
    <row r="27" spans="3:84" ht="15.95" customHeight="1">
      <c r="C27" s="803"/>
      <c r="R27" s="535"/>
      <c r="S27" s="815" t="s">
        <v>23</v>
      </c>
      <c r="T27" s="816"/>
      <c r="U27" s="816"/>
      <c r="V27" s="816" t="s">
        <v>735</v>
      </c>
      <c r="W27" s="816"/>
      <c r="X27" s="816"/>
      <c r="Y27" s="816"/>
      <c r="Z27" s="816"/>
      <c r="AA27" s="816" t="s">
        <v>736</v>
      </c>
      <c r="AB27" s="816"/>
      <c r="AC27" s="816"/>
      <c r="AD27" s="816"/>
      <c r="AE27" s="816"/>
      <c r="AF27" s="816" t="s">
        <v>737</v>
      </c>
      <c r="AG27" s="816"/>
      <c r="AH27" s="816"/>
      <c r="AI27" s="816"/>
      <c r="AJ27" s="816"/>
      <c r="AK27" s="816" t="s">
        <v>738</v>
      </c>
      <c r="AL27" s="816"/>
      <c r="AM27" s="816"/>
      <c r="AN27" s="816"/>
      <c r="AO27" s="816"/>
      <c r="AP27" s="816" t="s">
        <v>739</v>
      </c>
      <c r="AQ27" s="816"/>
      <c r="AR27" s="816"/>
      <c r="AS27" s="816"/>
      <c r="AT27" s="816"/>
      <c r="AU27" s="816" t="s">
        <v>740</v>
      </c>
      <c r="AV27" s="816"/>
      <c r="AW27" s="816"/>
      <c r="AX27" s="816"/>
      <c r="AY27" s="816"/>
      <c r="AZ27" s="816" t="s">
        <v>741</v>
      </c>
      <c r="BA27" s="816"/>
      <c r="BB27" s="816"/>
      <c r="BC27" s="816"/>
      <c r="BD27" s="816"/>
      <c r="BE27" s="816" t="s">
        <v>25</v>
      </c>
      <c r="BF27" s="816"/>
      <c r="BG27" s="816"/>
      <c r="BH27" s="816"/>
      <c r="BI27" s="816"/>
      <c r="BJ27" s="816"/>
      <c r="BK27" s="816"/>
      <c r="BL27" s="816"/>
      <c r="BM27" s="816"/>
      <c r="BN27" s="816"/>
      <c r="BO27" s="816"/>
      <c r="BP27" s="816"/>
      <c r="BQ27" s="819"/>
      <c r="BR27" s="533"/>
      <c r="BS27" s="533"/>
      <c r="BT27" s="533"/>
      <c r="BU27" s="533"/>
      <c r="BV27" s="533"/>
      <c r="BW27" s="533"/>
      <c r="BX27" s="533"/>
      <c r="BY27" s="533"/>
      <c r="BZ27" s="533"/>
      <c r="CA27" s="533"/>
      <c r="CB27" s="533"/>
      <c r="CC27" s="533"/>
      <c r="CD27" s="533"/>
      <c r="CE27" s="533"/>
      <c r="CF27" s="534"/>
    </row>
    <row r="28" spans="3:84" ht="15.95" customHeight="1">
      <c r="C28" s="803"/>
      <c r="R28" s="535"/>
      <c r="S28" s="861"/>
      <c r="T28" s="862"/>
      <c r="U28" s="862"/>
      <c r="V28" s="860" t="str">
        <f>+AC16</f>
        <v>A市</v>
      </c>
      <c r="W28" s="860"/>
      <c r="X28" s="860"/>
      <c r="Y28" s="860"/>
      <c r="Z28" s="860"/>
      <c r="AA28" s="860" t="str">
        <f>+AM16</f>
        <v>B町</v>
      </c>
      <c r="AB28" s="860"/>
      <c r="AC28" s="860"/>
      <c r="AD28" s="860"/>
      <c r="AE28" s="860"/>
      <c r="AF28" s="860" t="str">
        <f>+AR16</f>
        <v>B町</v>
      </c>
      <c r="AG28" s="860"/>
      <c r="AH28" s="860"/>
      <c r="AI28" s="860"/>
      <c r="AJ28" s="860"/>
      <c r="AK28" s="860" t="str">
        <f>+AW16</f>
        <v>C町</v>
      </c>
      <c r="AL28" s="860"/>
      <c r="AM28" s="860"/>
      <c r="AN28" s="860"/>
      <c r="AO28" s="860"/>
      <c r="AP28" s="860" t="str">
        <f>+BB16</f>
        <v>C町</v>
      </c>
      <c r="AQ28" s="860"/>
      <c r="AR28" s="860"/>
      <c r="AS28" s="860"/>
      <c r="AT28" s="860"/>
      <c r="AU28" s="860" t="str">
        <f>+BG16</f>
        <v>C町</v>
      </c>
      <c r="AV28" s="860"/>
      <c r="AW28" s="860"/>
      <c r="AX28" s="860"/>
      <c r="AY28" s="860"/>
      <c r="AZ28" s="860" t="str">
        <f>+BL16</f>
        <v>―</v>
      </c>
      <c r="BA28" s="860"/>
      <c r="BB28" s="860"/>
      <c r="BC28" s="860"/>
      <c r="BD28" s="860"/>
      <c r="BE28" s="848" t="s">
        <v>751</v>
      </c>
      <c r="BF28" s="848"/>
      <c r="BG28" s="848"/>
      <c r="BH28" s="848"/>
      <c r="BI28" s="848"/>
      <c r="BJ28" s="848"/>
      <c r="BK28" s="848"/>
      <c r="BL28" s="848"/>
      <c r="BM28" s="848"/>
      <c r="BN28" s="848"/>
      <c r="BO28" s="848"/>
      <c r="BP28" s="848"/>
      <c r="BQ28" s="849"/>
      <c r="BR28" s="533"/>
      <c r="BS28" s="533"/>
      <c r="BT28" s="533"/>
      <c r="BU28" s="533"/>
      <c r="BV28" s="533"/>
      <c r="BW28" s="533"/>
      <c r="BX28" s="533"/>
      <c r="BY28" s="533"/>
      <c r="BZ28" s="533"/>
      <c r="CA28" s="533"/>
      <c r="CB28" s="533"/>
      <c r="CC28" s="533"/>
      <c r="CD28" s="533"/>
      <c r="CE28" s="533"/>
      <c r="CF28" s="534"/>
    </row>
    <row r="29" spans="3:84" ht="15.95" customHeight="1">
      <c r="C29" s="803"/>
      <c r="R29" s="535"/>
      <c r="S29" s="817"/>
      <c r="T29" s="818"/>
      <c r="U29" s="818"/>
      <c r="V29" s="860" t="str">
        <f>+AC18</f>
        <v>A市浄化センター</v>
      </c>
      <c r="W29" s="860"/>
      <c r="X29" s="860"/>
      <c r="Y29" s="860"/>
      <c r="Z29" s="860"/>
      <c r="AA29" s="860" t="str">
        <f>+AM18</f>
        <v>B町浄化センター</v>
      </c>
      <c r="AB29" s="860"/>
      <c r="AC29" s="860"/>
      <c r="AD29" s="860"/>
      <c r="AE29" s="860"/>
      <c r="AF29" s="860" t="str">
        <f>+AR18</f>
        <v>B町中央浄化センター</v>
      </c>
      <c r="AG29" s="860"/>
      <c r="AH29" s="860"/>
      <c r="AI29" s="860"/>
      <c r="AJ29" s="860"/>
      <c r="AK29" s="860" t="str">
        <f>+AW18</f>
        <v>C町西浄化センター</v>
      </c>
      <c r="AL29" s="860"/>
      <c r="AM29" s="860"/>
      <c r="AN29" s="860"/>
      <c r="AO29" s="860"/>
      <c r="AP29" s="860" t="str">
        <f>+BB18</f>
        <v>C町中部浄化センター</v>
      </c>
      <c r="AQ29" s="860"/>
      <c r="AR29" s="860"/>
      <c r="AS29" s="860"/>
      <c r="AT29" s="860"/>
      <c r="AU29" s="860" t="str">
        <f>+BG18</f>
        <v>C町東浄化センター</v>
      </c>
      <c r="AV29" s="860"/>
      <c r="AW29" s="860"/>
      <c r="AX29" s="860"/>
      <c r="AY29" s="860"/>
      <c r="AZ29" s="860" t="str">
        <f>+BL18</f>
        <v>その他処理場</v>
      </c>
      <c r="BA29" s="860"/>
      <c r="BB29" s="860"/>
      <c r="BC29" s="860"/>
      <c r="BD29" s="860"/>
      <c r="BE29" s="848"/>
      <c r="BF29" s="848"/>
      <c r="BG29" s="848"/>
      <c r="BH29" s="848"/>
      <c r="BI29" s="848"/>
      <c r="BJ29" s="848"/>
      <c r="BK29" s="848"/>
      <c r="BL29" s="848"/>
      <c r="BM29" s="848"/>
      <c r="BN29" s="848"/>
      <c r="BO29" s="848"/>
      <c r="BP29" s="848"/>
      <c r="BQ29" s="849"/>
      <c r="BR29" s="533"/>
      <c r="BS29" s="533"/>
      <c r="BT29" s="533"/>
      <c r="BU29" s="533"/>
      <c r="BV29" s="533"/>
      <c r="BW29" s="533"/>
      <c r="BX29" s="533"/>
      <c r="BY29" s="533"/>
      <c r="BZ29" s="533"/>
      <c r="CA29" s="533"/>
      <c r="CB29" s="533"/>
      <c r="CC29" s="533"/>
      <c r="CD29" s="533"/>
      <c r="CE29" s="533"/>
      <c r="CF29" s="534"/>
    </row>
    <row r="30" spans="3:84" ht="15.95" customHeight="1">
      <c r="C30" s="803"/>
      <c r="R30" s="535"/>
      <c r="S30" s="817" t="s">
        <v>328</v>
      </c>
      <c r="T30" s="818"/>
      <c r="U30" s="818"/>
      <c r="V30" s="841">
        <v>1</v>
      </c>
      <c r="W30" s="841"/>
      <c r="X30" s="841"/>
      <c r="Y30" s="841"/>
      <c r="Z30" s="841"/>
      <c r="AA30" s="841">
        <v>1</v>
      </c>
      <c r="AB30" s="841"/>
      <c r="AC30" s="841"/>
      <c r="AD30" s="841"/>
      <c r="AE30" s="841"/>
      <c r="AF30" s="841">
        <v>1</v>
      </c>
      <c r="AG30" s="841"/>
      <c r="AH30" s="841"/>
      <c r="AI30" s="841"/>
      <c r="AJ30" s="841"/>
      <c r="AK30" s="841">
        <v>1</v>
      </c>
      <c r="AL30" s="841"/>
      <c r="AM30" s="841"/>
      <c r="AN30" s="841"/>
      <c r="AO30" s="841"/>
      <c r="AP30" s="841">
        <v>1</v>
      </c>
      <c r="AQ30" s="841"/>
      <c r="AR30" s="841"/>
      <c r="AS30" s="841"/>
      <c r="AT30" s="841"/>
      <c r="AU30" s="841">
        <v>1</v>
      </c>
      <c r="AV30" s="841"/>
      <c r="AW30" s="841"/>
      <c r="AX30" s="841"/>
      <c r="AY30" s="841"/>
      <c r="AZ30" s="841">
        <v>1</v>
      </c>
      <c r="BA30" s="841"/>
      <c r="BB30" s="841"/>
      <c r="BC30" s="841"/>
      <c r="BD30" s="841"/>
      <c r="BE30" s="848"/>
      <c r="BF30" s="848"/>
      <c r="BG30" s="848"/>
      <c r="BH30" s="848"/>
      <c r="BI30" s="848"/>
      <c r="BJ30" s="848"/>
      <c r="BK30" s="848"/>
      <c r="BL30" s="848"/>
      <c r="BM30" s="848"/>
      <c r="BN30" s="848"/>
      <c r="BO30" s="848"/>
      <c r="BP30" s="848"/>
      <c r="BQ30" s="849"/>
      <c r="BR30" s="533"/>
      <c r="BS30" s="533"/>
      <c r="BT30" s="533"/>
      <c r="BU30" s="533"/>
      <c r="BV30" s="533"/>
      <c r="BW30" s="533"/>
      <c r="BX30" s="533"/>
      <c r="BY30" s="533"/>
      <c r="BZ30" s="533"/>
      <c r="CA30" s="533"/>
      <c r="CB30" s="533"/>
      <c r="CC30" s="533"/>
      <c r="CD30" s="533"/>
      <c r="CE30" s="533"/>
      <c r="CF30" s="534"/>
    </row>
    <row r="31" spans="3:84" ht="15.95" customHeight="1">
      <c r="C31" s="803"/>
      <c r="R31" s="535"/>
      <c r="S31" s="817"/>
      <c r="T31" s="818"/>
      <c r="U31" s="818"/>
      <c r="V31" s="841"/>
      <c r="W31" s="841"/>
      <c r="X31" s="841"/>
      <c r="Y31" s="841"/>
      <c r="Z31" s="841"/>
      <c r="AA31" s="841"/>
      <c r="AB31" s="841"/>
      <c r="AC31" s="841"/>
      <c r="AD31" s="841"/>
      <c r="AE31" s="841"/>
      <c r="AF31" s="841"/>
      <c r="AG31" s="841"/>
      <c r="AH31" s="841"/>
      <c r="AI31" s="841"/>
      <c r="AJ31" s="841"/>
      <c r="AK31" s="841"/>
      <c r="AL31" s="841"/>
      <c r="AM31" s="841"/>
      <c r="AN31" s="841"/>
      <c r="AO31" s="841"/>
      <c r="AP31" s="841"/>
      <c r="AQ31" s="841"/>
      <c r="AR31" s="841"/>
      <c r="AS31" s="841"/>
      <c r="AT31" s="841"/>
      <c r="AU31" s="841"/>
      <c r="AV31" s="841"/>
      <c r="AW31" s="841"/>
      <c r="AX31" s="841"/>
      <c r="AY31" s="841"/>
      <c r="AZ31" s="841"/>
      <c r="BA31" s="841"/>
      <c r="BB31" s="841"/>
      <c r="BC31" s="841"/>
      <c r="BD31" s="841"/>
      <c r="BE31" s="848"/>
      <c r="BF31" s="848"/>
      <c r="BG31" s="848"/>
      <c r="BH31" s="848"/>
      <c r="BI31" s="848"/>
      <c r="BJ31" s="848"/>
      <c r="BK31" s="848"/>
      <c r="BL31" s="848"/>
      <c r="BM31" s="848"/>
      <c r="BN31" s="848"/>
      <c r="BO31" s="848"/>
      <c r="BP31" s="848"/>
      <c r="BQ31" s="849"/>
      <c r="BR31" s="533"/>
      <c r="BS31" s="533"/>
      <c r="BT31" s="533"/>
      <c r="BU31" s="533"/>
      <c r="BV31" s="533"/>
      <c r="BW31" s="533"/>
      <c r="BX31" s="533"/>
      <c r="BY31" s="533"/>
      <c r="BZ31" s="533"/>
      <c r="CA31" s="533"/>
      <c r="CB31" s="533"/>
      <c r="CC31" s="533"/>
      <c r="CD31" s="533"/>
      <c r="CE31" s="533"/>
      <c r="CF31" s="534"/>
    </row>
    <row r="32" spans="3:84" ht="15.95" customHeight="1">
      <c r="C32" s="803"/>
      <c r="R32" s="535"/>
      <c r="S32" s="817" t="s">
        <v>22</v>
      </c>
      <c r="T32" s="818"/>
      <c r="U32" s="818"/>
      <c r="V32" s="841">
        <v>1</v>
      </c>
      <c r="W32" s="841"/>
      <c r="X32" s="841"/>
      <c r="Y32" s="841"/>
      <c r="Z32" s="841"/>
      <c r="AA32" s="841">
        <v>1</v>
      </c>
      <c r="AB32" s="841"/>
      <c r="AC32" s="841"/>
      <c r="AD32" s="841"/>
      <c r="AE32" s="841"/>
      <c r="AF32" s="841">
        <v>1</v>
      </c>
      <c r="AG32" s="841"/>
      <c r="AH32" s="841"/>
      <c r="AI32" s="841"/>
      <c r="AJ32" s="841"/>
      <c r="AK32" s="841">
        <v>1</v>
      </c>
      <c r="AL32" s="841"/>
      <c r="AM32" s="841"/>
      <c r="AN32" s="841"/>
      <c r="AO32" s="841"/>
      <c r="AP32" s="841">
        <v>0</v>
      </c>
      <c r="AQ32" s="841"/>
      <c r="AR32" s="841"/>
      <c r="AS32" s="841"/>
      <c r="AT32" s="841"/>
      <c r="AU32" s="841">
        <v>1</v>
      </c>
      <c r="AV32" s="841"/>
      <c r="AW32" s="841"/>
      <c r="AX32" s="841"/>
      <c r="AY32" s="841"/>
      <c r="AZ32" s="841">
        <v>0</v>
      </c>
      <c r="BA32" s="841"/>
      <c r="BB32" s="841"/>
      <c r="BC32" s="841"/>
      <c r="BD32" s="841"/>
      <c r="BE32" s="848"/>
      <c r="BF32" s="848"/>
      <c r="BG32" s="848"/>
      <c r="BH32" s="848"/>
      <c r="BI32" s="848"/>
      <c r="BJ32" s="848"/>
      <c r="BK32" s="848"/>
      <c r="BL32" s="848"/>
      <c r="BM32" s="848"/>
      <c r="BN32" s="848"/>
      <c r="BO32" s="848"/>
      <c r="BP32" s="848"/>
      <c r="BQ32" s="849"/>
      <c r="BR32" s="533"/>
      <c r="BS32" s="533"/>
      <c r="BT32" s="533"/>
      <c r="BU32" s="533"/>
      <c r="BV32" s="533"/>
      <c r="BW32" s="533"/>
      <c r="BX32" s="533"/>
      <c r="BY32" s="533"/>
      <c r="BZ32" s="533"/>
      <c r="CA32" s="533"/>
      <c r="CB32" s="533"/>
      <c r="CC32" s="533"/>
      <c r="CD32" s="533"/>
      <c r="CE32" s="533"/>
      <c r="CF32" s="534"/>
    </row>
    <row r="33" spans="3:84" ht="15.75" customHeight="1">
      <c r="C33" s="803"/>
      <c r="R33" s="535"/>
      <c r="S33" s="817"/>
      <c r="T33" s="818"/>
      <c r="U33" s="818"/>
      <c r="V33" s="841"/>
      <c r="W33" s="841"/>
      <c r="X33" s="841"/>
      <c r="Y33" s="841"/>
      <c r="Z33" s="841"/>
      <c r="AA33" s="841"/>
      <c r="AB33" s="841"/>
      <c r="AC33" s="841"/>
      <c r="AD33" s="841"/>
      <c r="AE33" s="841"/>
      <c r="AF33" s="841"/>
      <c r="AG33" s="841"/>
      <c r="AH33" s="841"/>
      <c r="AI33" s="841"/>
      <c r="AJ33" s="841"/>
      <c r="AK33" s="841"/>
      <c r="AL33" s="841"/>
      <c r="AM33" s="841"/>
      <c r="AN33" s="841"/>
      <c r="AO33" s="841"/>
      <c r="AP33" s="841"/>
      <c r="AQ33" s="841"/>
      <c r="AR33" s="841"/>
      <c r="AS33" s="841"/>
      <c r="AT33" s="841"/>
      <c r="AU33" s="841"/>
      <c r="AV33" s="841"/>
      <c r="AW33" s="841"/>
      <c r="AX33" s="841"/>
      <c r="AY33" s="841"/>
      <c r="AZ33" s="841"/>
      <c r="BA33" s="841"/>
      <c r="BB33" s="841"/>
      <c r="BC33" s="841"/>
      <c r="BD33" s="841"/>
      <c r="BE33" s="848"/>
      <c r="BF33" s="848"/>
      <c r="BG33" s="848"/>
      <c r="BH33" s="848"/>
      <c r="BI33" s="848"/>
      <c r="BJ33" s="848"/>
      <c r="BK33" s="848"/>
      <c r="BL33" s="848"/>
      <c r="BM33" s="848"/>
      <c r="BN33" s="848"/>
      <c r="BO33" s="848"/>
      <c r="BP33" s="848"/>
      <c r="BQ33" s="849"/>
      <c r="BR33" s="533"/>
      <c r="BS33" s="533"/>
      <c r="BT33" s="533"/>
      <c r="BU33" s="533"/>
      <c r="BV33" s="533"/>
      <c r="BW33" s="533"/>
      <c r="BX33" s="533"/>
      <c r="BY33" s="533"/>
      <c r="BZ33" s="533"/>
      <c r="CA33" s="533"/>
      <c r="CB33" s="533"/>
      <c r="CC33" s="533"/>
      <c r="CD33" s="533"/>
      <c r="CE33" s="533"/>
      <c r="CF33" s="534"/>
    </row>
    <row r="34" spans="3:84" ht="15.75" customHeight="1">
      <c r="C34" s="803"/>
      <c r="R34" s="535"/>
      <c r="S34" s="817" t="s">
        <v>47</v>
      </c>
      <c r="T34" s="818"/>
      <c r="U34" s="818"/>
      <c r="V34" s="841">
        <v>0</v>
      </c>
      <c r="W34" s="841"/>
      <c r="X34" s="841"/>
      <c r="Y34" s="841"/>
      <c r="Z34" s="841"/>
      <c r="AA34" s="841">
        <v>0</v>
      </c>
      <c r="AB34" s="841"/>
      <c r="AC34" s="841"/>
      <c r="AD34" s="841"/>
      <c r="AE34" s="841"/>
      <c r="AF34" s="841">
        <v>0</v>
      </c>
      <c r="AG34" s="841"/>
      <c r="AH34" s="841"/>
      <c r="AI34" s="841"/>
      <c r="AJ34" s="841"/>
      <c r="AK34" s="841">
        <v>0</v>
      </c>
      <c r="AL34" s="841"/>
      <c r="AM34" s="841"/>
      <c r="AN34" s="841"/>
      <c r="AO34" s="841"/>
      <c r="AP34" s="841">
        <v>0</v>
      </c>
      <c r="AQ34" s="841"/>
      <c r="AR34" s="841"/>
      <c r="AS34" s="841"/>
      <c r="AT34" s="841"/>
      <c r="AU34" s="841">
        <v>0</v>
      </c>
      <c r="AV34" s="841"/>
      <c r="AW34" s="841"/>
      <c r="AX34" s="841"/>
      <c r="AY34" s="841"/>
      <c r="AZ34" s="852">
        <v>0</v>
      </c>
      <c r="BA34" s="853"/>
      <c r="BB34" s="853"/>
      <c r="BC34" s="853"/>
      <c r="BD34" s="854"/>
      <c r="BE34" s="848"/>
      <c r="BF34" s="848"/>
      <c r="BG34" s="848"/>
      <c r="BH34" s="848"/>
      <c r="BI34" s="848"/>
      <c r="BJ34" s="848"/>
      <c r="BK34" s="848"/>
      <c r="BL34" s="848"/>
      <c r="BM34" s="848"/>
      <c r="BN34" s="848"/>
      <c r="BO34" s="848"/>
      <c r="BP34" s="848"/>
      <c r="BQ34" s="849"/>
      <c r="BR34" s="547"/>
      <c r="BS34" s="547"/>
      <c r="BT34" s="533"/>
      <c r="BU34" s="533"/>
      <c r="BV34" s="533"/>
      <c r="BW34" s="533"/>
      <c r="BX34" s="533"/>
      <c r="BY34" s="533"/>
      <c r="BZ34" s="533"/>
      <c r="CA34" s="533"/>
      <c r="CB34" s="533"/>
      <c r="CC34" s="533"/>
      <c r="CD34" s="533"/>
      <c r="CE34" s="533"/>
      <c r="CF34" s="534"/>
    </row>
    <row r="35" spans="3:84" ht="15.95" customHeight="1">
      <c r="C35" s="803"/>
      <c r="R35" s="535"/>
      <c r="S35" s="817"/>
      <c r="T35" s="818"/>
      <c r="U35" s="818"/>
      <c r="V35" s="841"/>
      <c r="W35" s="841"/>
      <c r="X35" s="841"/>
      <c r="Y35" s="841"/>
      <c r="Z35" s="841"/>
      <c r="AA35" s="841"/>
      <c r="AB35" s="841"/>
      <c r="AC35" s="841"/>
      <c r="AD35" s="841"/>
      <c r="AE35" s="841"/>
      <c r="AF35" s="841"/>
      <c r="AG35" s="841"/>
      <c r="AH35" s="841"/>
      <c r="AI35" s="841"/>
      <c r="AJ35" s="841"/>
      <c r="AK35" s="841"/>
      <c r="AL35" s="841"/>
      <c r="AM35" s="841"/>
      <c r="AN35" s="841"/>
      <c r="AO35" s="841"/>
      <c r="AP35" s="841"/>
      <c r="AQ35" s="841"/>
      <c r="AR35" s="841"/>
      <c r="AS35" s="841"/>
      <c r="AT35" s="841"/>
      <c r="AU35" s="841"/>
      <c r="AV35" s="841"/>
      <c r="AW35" s="841"/>
      <c r="AX35" s="841"/>
      <c r="AY35" s="841"/>
      <c r="AZ35" s="855"/>
      <c r="BA35" s="856"/>
      <c r="BB35" s="856"/>
      <c r="BC35" s="856"/>
      <c r="BD35" s="857"/>
      <c r="BE35" s="848"/>
      <c r="BF35" s="848"/>
      <c r="BG35" s="848"/>
      <c r="BH35" s="848"/>
      <c r="BI35" s="848"/>
      <c r="BJ35" s="848"/>
      <c r="BK35" s="848"/>
      <c r="BL35" s="848"/>
      <c r="BM35" s="848"/>
      <c r="BN35" s="848"/>
      <c r="BO35" s="848"/>
      <c r="BP35" s="848"/>
      <c r="BQ35" s="849"/>
      <c r="BR35" s="547"/>
      <c r="BS35" s="547"/>
      <c r="BT35" s="533"/>
      <c r="BU35" s="533"/>
      <c r="BV35" s="533"/>
      <c r="BW35" s="533"/>
      <c r="BX35" s="533"/>
      <c r="BY35" s="533"/>
      <c r="BZ35" s="533"/>
      <c r="CA35" s="533"/>
      <c r="CB35" s="533"/>
      <c r="CC35" s="533"/>
      <c r="CD35" s="533"/>
      <c r="CE35" s="533"/>
      <c r="CF35" s="534"/>
    </row>
    <row r="36" spans="3:84" ht="15.95" customHeight="1">
      <c r="C36" s="803"/>
      <c r="R36" s="535"/>
      <c r="S36" s="817" t="s">
        <v>483</v>
      </c>
      <c r="T36" s="818"/>
      <c r="U36" s="818"/>
      <c r="V36" s="841">
        <v>0</v>
      </c>
      <c r="W36" s="841"/>
      <c r="X36" s="841"/>
      <c r="Y36" s="841"/>
      <c r="Z36" s="841"/>
      <c r="AA36" s="841">
        <v>0</v>
      </c>
      <c r="AB36" s="841"/>
      <c r="AC36" s="841"/>
      <c r="AD36" s="841"/>
      <c r="AE36" s="841"/>
      <c r="AF36" s="841">
        <v>0</v>
      </c>
      <c r="AG36" s="841"/>
      <c r="AH36" s="841"/>
      <c r="AI36" s="841"/>
      <c r="AJ36" s="841"/>
      <c r="AK36" s="841">
        <v>0</v>
      </c>
      <c r="AL36" s="841"/>
      <c r="AM36" s="841"/>
      <c r="AN36" s="841"/>
      <c r="AO36" s="841"/>
      <c r="AP36" s="841">
        <v>0</v>
      </c>
      <c r="AQ36" s="841"/>
      <c r="AR36" s="841"/>
      <c r="AS36" s="841"/>
      <c r="AT36" s="841"/>
      <c r="AU36" s="841">
        <v>0</v>
      </c>
      <c r="AV36" s="841"/>
      <c r="AW36" s="841"/>
      <c r="AX36" s="841"/>
      <c r="AY36" s="841"/>
      <c r="AZ36" s="841">
        <v>0</v>
      </c>
      <c r="BA36" s="841"/>
      <c r="BB36" s="841"/>
      <c r="BC36" s="841"/>
      <c r="BD36" s="841"/>
      <c r="BE36" s="848"/>
      <c r="BF36" s="848"/>
      <c r="BG36" s="848"/>
      <c r="BH36" s="848"/>
      <c r="BI36" s="848"/>
      <c r="BJ36" s="848"/>
      <c r="BK36" s="848"/>
      <c r="BL36" s="848"/>
      <c r="BM36" s="848"/>
      <c r="BN36" s="848"/>
      <c r="BO36" s="848"/>
      <c r="BP36" s="848"/>
      <c r="BQ36" s="849"/>
      <c r="BR36" s="533"/>
      <c r="BS36" s="533"/>
      <c r="BT36" s="533"/>
      <c r="BU36" s="533"/>
      <c r="BV36" s="533"/>
      <c r="BW36" s="533"/>
      <c r="BX36" s="533"/>
      <c r="BY36" s="533"/>
      <c r="BZ36" s="533"/>
      <c r="CA36" s="533"/>
      <c r="CB36" s="533"/>
      <c r="CC36" s="533"/>
      <c r="CD36" s="533"/>
      <c r="CE36" s="533"/>
      <c r="CF36" s="534"/>
    </row>
    <row r="37" spans="3:84" ht="15.95" customHeight="1">
      <c r="C37" s="803"/>
      <c r="R37" s="535"/>
      <c r="S37" s="817"/>
      <c r="T37" s="818"/>
      <c r="U37" s="818"/>
      <c r="V37" s="841"/>
      <c r="W37" s="841"/>
      <c r="X37" s="841"/>
      <c r="Y37" s="841"/>
      <c r="Z37" s="841"/>
      <c r="AA37" s="841"/>
      <c r="AB37" s="841"/>
      <c r="AC37" s="841"/>
      <c r="AD37" s="841"/>
      <c r="AE37" s="841"/>
      <c r="AF37" s="841"/>
      <c r="AG37" s="841"/>
      <c r="AH37" s="841"/>
      <c r="AI37" s="841"/>
      <c r="AJ37" s="841"/>
      <c r="AK37" s="841"/>
      <c r="AL37" s="841"/>
      <c r="AM37" s="841"/>
      <c r="AN37" s="841"/>
      <c r="AO37" s="841"/>
      <c r="AP37" s="841"/>
      <c r="AQ37" s="841"/>
      <c r="AR37" s="841"/>
      <c r="AS37" s="841"/>
      <c r="AT37" s="841"/>
      <c r="AU37" s="841"/>
      <c r="AV37" s="841"/>
      <c r="AW37" s="841"/>
      <c r="AX37" s="841"/>
      <c r="AY37" s="841"/>
      <c r="AZ37" s="841"/>
      <c r="BA37" s="841"/>
      <c r="BB37" s="841"/>
      <c r="BC37" s="841"/>
      <c r="BD37" s="841"/>
      <c r="BE37" s="848"/>
      <c r="BF37" s="848"/>
      <c r="BG37" s="848"/>
      <c r="BH37" s="848"/>
      <c r="BI37" s="848"/>
      <c r="BJ37" s="848"/>
      <c r="BK37" s="848"/>
      <c r="BL37" s="848"/>
      <c r="BM37" s="848"/>
      <c r="BN37" s="848"/>
      <c r="BO37" s="848"/>
      <c r="BP37" s="848"/>
      <c r="BQ37" s="849"/>
      <c r="BR37" s="533"/>
      <c r="BS37" s="533"/>
      <c r="BT37" s="533"/>
      <c r="BU37" s="533"/>
      <c r="BV37" s="533"/>
      <c r="BW37" s="533"/>
      <c r="BX37" s="533"/>
      <c r="BY37" s="533"/>
      <c r="BZ37" s="533"/>
      <c r="CA37" s="533"/>
      <c r="CB37" s="533"/>
      <c r="CC37" s="533"/>
      <c r="CD37" s="533"/>
      <c r="CE37" s="533"/>
      <c r="CF37" s="534"/>
    </row>
    <row r="38" spans="3:84" ht="15.95" customHeight="1">
      <c r="C38" s="803"/>
      <c r="R38" s="535"/>
      <c r="S38" s="817" t="s">
        <v>310</v>
      </c>
      <c r="T38" s="818"/>
      <c r="U38" s="818"/>
      <c r="V38" s="841">
        <v>0</v>
      </c>
      <c r="W38" s="841"/>
      <c r="X38" s="841"/>
      <c r="Y38" s="841"/>
      <c r="Z38" s="841"/>
      <c r="AA38" s="841">
        <v>0</v>
      </c>
      <c r="AB38" s="841"/>
      <c r="AC38" s="841"/>
      <c r="AD38" s="841"/>
      <c r="AE38" s="841"/>
      <c r="AF38" s="841">
        <v>0</v>
      </c>
      <c r="AG38" s="841"/>
      <c r="AH38" s="841"/>
      <c r="AI38" s="841"/>
      <c r="AJ38" s="841"/>
      <c r="AK38" s="841">
        <v>0</v>
      </c>
      <c r="AL38" s="841"/>
      <c r="AM38" s="841"/>
      <c r="AN38" s="841"/>
      <c r="AO38" s="841"/>
      <c r="AP38" s="841">
        <v>0</v>
      </c>
      <c r="AQ38" s="841"/>
      <c r="AR38" s="841"/>
      <c r="AS38" s="841"/>
      <c r="AT38" s="841"/>
      <c r="AU38" s="841">
        <v>0</v>
      </c>
      <c r="AV38" s="841"/>
      <c r="AW38" s="841"/>
      <c r="AX38" s="841"/>
      <c r="AY38" s="841"/>
      <c r="AZ38" s="841">
        <v>0</v>
      </c>
      <c r="BA38" s="841"/>
      <c r="BB38" s="841"/>
      <c r="BC38" s="841"/>
      <c r="BD38" s="841"/>
      <c r="BE38" s="848"/>
      <c r="BF38" s="848"/>
      <c r="BG38" s="848"/>
      <c r="BH38" s="848"/>
      <c r="BI38" s="848"/>
      <c r="BJ38" s="848"/>
      <c r="BK38" s="848"/>
      <c r="BL38" s="848"/>
      <c r="BM38" s="848"/>
      <c r="BN38" s="848"/>
      <c r="BO38" s="848"/>
      <c r="BP38" s="848"/>
      <c r="BQ38" s="849"/>
      <c r="BR38" s="533"/>
      <c r="BS38" s="533"/>
      <c r="BT38" s="533"/>
      <c r="BU38" s="533"/>
      <c r="BV38" s="533"/>
      <c r="BW38" s="533"/>
      <c r="BX38" s="533"/>
      <c r="BY38" s="533"/>
      <c r="BZ38" s="533"/>
      <c r="CA38" s="533"/>
      <c r="CB38" s="533"/>
      <c r="CC38" s="533"/>
      <c r="CD38" s="533"/>
      <c r="CE38" s="533"/>
      <c r="CF38" s="534"/>
    </row>
    <row r="39" spans="3:84" ht="15.95" customHeight="1" thickBot="1">
      <c r="C39" s="803"/>
      <c r="R39" s="535"/>
      <c r="S39" s="858"/>
      <c r="T39" s="859"/>
      <c r="U39" s="859"/>
      <c r="V39" s="842"/>
      <c r="W39" s="842"/>
      <c r="X39" s="842"/>
      <c r="Y39" s="842"/>
      <c r="Z39" s="842"/>
      <c r="AA39" s="842"/>
      <c r="AB39" s="842"/>
      <c r="AC39" s="842"/>
      <c r="AD39" s="842"/>
      <c r="AE39" s="842"/>
      <c r="AF39" s="842"/>
      <c r="AG39" s="842"/>
      <c r="AH39" s="842"/>
      <c r="AI39" s="842"/>
      <c r="AJ39" s="842"/>
      <c r="AK39" s="842"/>
      <c r="AL39" s="842"/>
      <c r="AM39" s="842"/>
      <c r="AN39" s="842"/>
      <c r="AO39" s="842"/>
      <c r="AP39" s="842"/>
      <c r="AQ39" s="842"/>
      <c r="AR39" s="842"/>
      <c r="AS39" s="842"/>
      <c r="AT39" s="842"/>
      <c r="AU39" s="842"/>
      <c r="AV39" s="842"/>
      <c r="AW39" s="842"/>
      <c r="AX39" s="842"/>
      <c r="AY39" s="842"/>
      <c r="AZ39" s="842"/>
      <c r="BA39" s="842"/>
      <c r="BB39" s="842"/>
      <c r="BC39" s="842"/>
      <c r="BD39" s="842"/>
      <c r="BE39" s="850"/>
      <c r="BF39" s="850"/>
      <c r="BG39" s="850"/>
      <c r="BH39" s="850"/>
      <c r="BI39" s="850"/>
      <c r="BJ39" s="850"/>
      <c r="BK39" s="850"/>
      <c r="BL39" s="850"/>
      <c r="BM39" s="850"/>
      <c r="BN39" s="850"/>
      <c r="BO39" s="850"/>
      <c r="BP39" s="850"/>
      <c r="BQ39" s="851"/>
      <c r="BR39" s="533"/>
      <c r="BS39" s="533"/>
      <c r="BT39" s="533"/>
      <c r="BU39" s="533"/>
      <c r="BV39" s="533"/>
      <c r="BW39" s="533"/>
      <c r="BX39" s="533"/>
      <c r="BY39" s="533"/>
      <c r="BZ39" s="533"/>
      <c r="CA39" s="533"/>
      <c r="CB39" s="533"/>
      <c r="CC39" s="533"/>
      <c r="CD39" s="533"/>
      <c r="CE39" s="533"/>
      <c r="CF39" s="534"/>
    </row>
    <row r="40" spans="3:84" ht="15.95" customHeight="1">
      <c r="C40" s="803"/>
      <c r="R40" s="535"/>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4"/>
    </row>
    <row r="41" spans="3:84" ht="15.95" customHeight="1">
      <c r="C41" s="803"/>
      <c r="R41" s="535"/>
      <c r="S41" s="759" t="s">
        <v>752</v>
      </c>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548"/>
      <c r="BM41" s="548"/>
      <c r="BN41" s="548"/>
      <c r="BO41" s="548"/>
      <c r="BP41" s="548"/>
      <c r="BQ41" s="548"/>
      <c r="BR41" s="548"/>
      <c r="BS41" s="548"/>
      <c r="BT41" s="548"/>
      <c r="BU41" s="548"/>
      <c r="BV41" s="548"/>
      <c r="BW41" s="548"/>
      <c r="BX41" s="548"/>
      <c r="BY41" s="548"/>
      <c r="BZ41" s="548"/>
      <c r="CA41" s="548"/>
      <c r="CB41" s="548"/>
      <c r="CC41" s="533"/>
      <c r="CD41" s="533"/>
      <c r="CE41" s="533"/>
      <c r="CF41" s="534"/>
    </row>
    <row r="42" spans="3:84" ht="15.95" customHeight="1" thickBot="1">
      <c r="C42" s="803"/>
      <c r="R42" s="535"/>
      <c r="S42" s="760"/>
      <c r="T42" s="760"/>
      <c r="U42" s="760"/>
      <c r="V42" s="760"/>
      <c r="W42" s="760"/>
      <c r="X42" s="760"/>
      <c r="Y42" s="760"/>
      <c r="Z42" s="760"/>
      <c r="AA42" s="760"/>
      <c r="AB42" s="760"/>
      <c r="AC42" s="760"/>
      <c r="AD42" s="760"/>
      <c r="AE42" s="760"/>
      <c r="AF42" s="760"/>
      <c r="AG42" s="760"/>
      <c r="AH42" s="760"/>
      <c r="AI42" s="760"/>
      <c r="AJ42" s="760"/>
      <c r="AK42" s="760"/>
      <c r="AL42" s="760"/>
      <c r="AM42" s="760"/>
      <c r="AN42" s="760"/>
      <c r="AO42" s="760"/>
      <c r="AP42" s="760"/>
      <c r="AQ42" s="760"/>
      <c r="AR42" s="760"/>
      <c r="AS42" s="760"/>
      <c r="AT42" s="760"/>
      <c r="AU42" s="760"/>
      <c r="AV42" s="760"/>
      <c r="AW42" s="759"/>
      <c r="AX42" s="759"/>
      <c r="AY42" s="759"/>
      <c r="AZ42" s="759"/>
      <c r="BA42" s="759"/>
      <c r="BB42" s="759"/>
      <c r="BC42" s="759"/>
      <c r="BD42" s="759"/>
      <c r="BE42" s="759"/>
      <c r="BF42" s="759"/>
      <c r="BG42" s="759"/>
      <c r="BH42" s="759"/>
      <c r="BI42" s="759"/>
      <c r="BJ42" s="759"/>
      <c r="BK42" s="759"/>
      <c r="BL42" s="548"/>
      <c r="BM42" s="548"/>
      <c r="BN42" s="548"/>
      <c r="BO42" s="548"/>
      <c r="BP42" s="548"/>
      <c r="BQ42" s="548"/>
      <c r="BR42" s="548"/>
      <c r="BS42" s="548"/>
      <c r="BT42" s="548"/>
      <c r="BU42" s="548"/>
      <c r="BV42" s="548"/>
      <c r="BW42" s="548"/>
      <c r="BX42" s="548"/>
      <c r="BY42" s="548"/>
      <c r="BZ42" s="548"/>
      <c r="CA42" s="548"/>
      <c r="CB42" s="548"/>
      <c r="CC42" s="533"/>
      <c r="CD42" s="533"/>
      <c r="CE42" s="533"/>
      <c r="CF42" s="534"/>
    </row>
    <row r="43" spans="3:84" ht="15.95" customHeight="1">
      <c r="C43" s="803"/>
      <c r="R43" s="535"/>
      <c r="S43" s="815" t="s">
        <v>23</v>
      </c>
      <c r="T43" s="816"/>
      <c r="U43" s="816"/>
      <c r="V43" s="816"/>
      <c r="W43" s="816"/>
      <c r="X43" s="816"/>
      <c r="Y43" s="816"/>
      <c r="Z43" s="816" t="s">
        <v>24</v>
      </c>
      <c r="AA43" s="816"/>
      <c r="AB43" s="816"/>
      <c r="AC43" s="843" t="s">
        <v>734</v>
      </c>
      <c r="AD43" s="843"/>
      <c r="AE43" s="843"/>
      <c r="AF43" s="843"/>
      <c r="AG43" s="843"/>
      <c r="AH43" s="843"/>
      <c r="AI43" s="843"/>
      <c r="AJ43" s="843"/>
      <c r="AK43" s="843"/>
      <c r="AL43" s="843"/>
      <c r="AM43" s="843"/>
      <c r="AN43" s="843"/>
      <c r="AO43" s="843"/>
      <c r="AP43" s="843"/>
      <c r="AQ43" s="843"/>
      <c r="AR43" s="843"/>
      <c r="AS43" s="843"/>
      <c r="AT43" s="843"/>
      <c r="AU43" s="843"/>
      <c r="AV43" s="843"/>
      <c r="AW43" s="844" t="s">
        <v>25</v>
      </c>
      <c r="AX43" s="844"/>
      <c r="AY43" s="844"/>
      <c r="AZ43" s="844"/>
      <c r="BA43" s="844"/>
      <c r="BB43" s="844"/>
      <c r="BC43" s="844"/>
      <c r="BD43" s="844"/>
      <c r="BE43" s="844"/>
      <c r="BF43" s="844"/>
      <c r="BG43" s="844"/>
      <c r="BH43" s="844"/>
      <c r="BI43" s="844"/>
      <c r="BJ43" s="844"/>
      <c r="BK43" s="844"/>
      <c r="BL43" s="844"/>
      <c r="BM43" s="844"/>
      <c r="BN43" s="844"/>
      <c r="BO43" s="844"/>
      <c r="BP43" s="844"/>
      <c r="BQ43" s="845"/>
      <c r="BR43" s="533"/>
      <c r="BS43" s="533"/>
      <c r="BT43" s="533"/>
      <c r="BU43" s="533"/>
      <c r="BV43" s="533"/>
      <c r="BW43" s="533"/>
      <c r="BX43" s="533"/>
      <c r="BY43" s="533"/>
      <c r="BZ43" s="533"/>
      <c r="CA43" s="533"/>
      <c r="CB43" s="533"/>
      <c r="CC43" s="533"/>
      <c r="CD43" s="533"/>
      <c r="CE43" s="533"/>
      <c r="CF43" s="534"/>
    </row>
    <row r="44" spans="3:84" ht="15.95" customHeight="1">
      <c r="C44" s="803"/>
      <c r="R44" s="535"/>
      <c r="S44" s="817"/>
      <c r="T44" s="818"/>
      <c r="U44" s="818"/>
      <c r="V44" s="818"/>
      <c r="W44" s="818"/>
      <c r="X44" s="818"/>
      <c r="Y44" s="818"/>
      <c r="Z44" s="818"/>
      <c r="AA44" s="818"/>
      <c r="AB44" s="818"/>
      <c r="AC44" s="825" t="s">
        <v>753</v>
      </c>
      <c r="AD44" s="825"/>
      <c r="AE44" s="825"/>
      <c r="AF44" s="825"/>
      <c r="AG44" s="825"/>
      <c r="AH44" s="825" t="s">
        <v>754</v>
      </c>
      <c r="AI44" s="825"/>
      <c r="AJ44" s="825"/>
      <c r="AK44" s="825"/>
      <c r="AL44" s="825"/>
      <c r="AM44" s="825" t="s">
        <v>755</v>
      </c>
      <c r="AN44" s="825"/>
      <c r="AO44" s="825"/>
      <c r="AP44" s="825"/>
      <c r="AQ44" s="825"/>
      <c r="AR44" s="825" t="s">
        <v>756</v>
      </c>
      <c r="AS44" s="825"/>
      <c r="AT44" s="825"/>
      <c r="AU44" s="825"/>
      <c r="AV44" s="825"/>
      <c r="AW44" s="846"/>
      <c r="AX44" s="846"/>
      <c r="AY44" s="846"/>
      <c r="AZ44" s="846"/>
      <c r="BA44" s="846"/>
      <c r="BB44" s="846"/>
      <c r="BC44" s="846"/>
      <c r="BD44" s="846"/>
      <c r="BE44" s="846"/>
      <c r="BF44" s="846"/>
      <c r="BG44" s="846"/>
      <c r="BH44" s="846"/>
      <c r="BI44" s="846"/>
      <c r="BJ44" s="846"/>
      <c r="BK44" s="846"/>
      <c r="BL44" s="846"/>
      <c r="BM44" s="846"/>
      <c r="BN44" s="846"/>
      <c r="BO44" s="846"/>
      <c r="BP44" s="846"/>
      <c r="BQ44" s="847"/>
      <c r="BR44" s="533"/>
      <c r="BS44" s="533"/>
      <c r="BT44" s="533"/>
      <c r="BU44" s="533"/>
      <c r="BV44" s="533"/>
      <c r="BW44" s="533"/>
      <c r="BX44" s="533"/>
      <c r="BY44" s="533"/>
      <c r="BZ44" s="533"/>
      <c r="CA44" s="533"/>
      <c r="CB44" s="533"/>
      <c r="CC44" s="533"/>
      <c r="CD44" s="533"/>
      <c r="CE44" s="533"/>
      <c r="CF44" s="534"/>
    </row>
    <row r="45" spans="3:84" ht="15.95" customHeight="1">
      <c r="C45" s="803"/>
      <c r="R45" s="535"/>
      <c r="S45" s="837" t="s">
        <v>742</v>
      </c>
      <c r="T45" s="825" t="s">
        <v>275</v>
      </c>
      <c r="U45" s="825"/>
      <c r="V45" s="825"/>
      <c r="W45" s="825"/>
      <c r="X45" s="825"/>
      <c r="Y45" s="825"/>
      <c r="Z45" s="825" t="s">
        <v>745</v>
      </c>
      <c r="AA45" s="825"/>
      <c r="AB45" s="825"/>
      <c r="AC45" s="831" t="s">
        <v>757</v>
      </c>
      <c r="AD45" s="831"/>
      <c r="AE45" s="831"/>
      <c r="AF45" s="831"/>
      <c r="AG45" s="831"/>
      <c r="AH45" s="831" t="s">
        <v>757</v>
      </c>
      <c r="AI45" s="831"/>
      <c r="AJ45" s="831"/>
      <c r="AK45" s="831"/>
      <c r="AL45" s="831"/>
      <c r="AM45" s="831" t="s">
        <v>757</v>
      </c>
      <c r="AN45" s="831"/>
      <c r="AO45" s="831"/>
      <c r="AP45" s="831"/>
      <c r="AQ45" s="831"/>
      <c r="AR45" s="831" t="s">
        <v>757</v>
      </c>
      <c r="AS45" s="831"/>
      <c r="AT45" s="831"/>
      <c r="AU45" s="831"/>
      <c r="AV45" s="831"/>
      <c r="AW45" s="833" t="s">
        <v>758</v>
      </c>
      <c r="AX45" s="833"/>
      <c r="AY45" s="833"/>
      <c r="AZ45" s="833"/>
      <c r="BA45" s="833"/>
      <c r="BB45" s="833"/>
      <c r="BC45" s="833"/>
      <c r="BD45" s="833"/>
      <c r="BE45" s="833"/>
      <c r="BF45" s="833"/>
      <c r="BG45" s="833"/>
      <c r="BH45" s="833"/>
      <c r="BI45" s="833"/>
      <c r="BJ45" s="833"/>
      <c r="BK45" s="833"/>
      <c r="BL45" s="833"/>
      <c r="BM45" s="833"/>
      <c r="BN45" s="833"/>
      <c r="BO45" s="833"/>
      <c r="BP45" s="833"/>
      <c r="BQ45" s="834"/>
      <c r="BR45" s="533"/>
      <c r="BS45" s="533"/>
      <c r="BT45" s="533"/>
      <c r="BU45" s="533"/>
      <c r="BV45" s="533"/>
      <c r="BW45" s="533"/>
      <c r="BX45" s="533"/>
      <c r="BY45" s="533"/>
      <c r="BZ45" s="533"/>
      <c r="CA45" s="533"/>
      <c r="CB45" s="533"/>
      <c r="CC45" s="533"/>
      <c r="CD45" s="533"/>
      <c r="CE45" s="533"/>
      <c r="CF45" s="534"/>
    </row>
    <row r="46" spans="3:84" ht="15.95" customHeight="1">
      <c r="C46" s="803"/>
      <c r="R46" s="535"/>
      <c r="S46" s="837"/>
      <c r="T46" s="825"/>
      <c r="U46" s="825"/>
      <c r="V46" s="825"/>
      <c r="W46" s="825"/>
      <c r="X46" s="825"/>
      <c r="Y46" s="825"/>
      <c r="Z46" s="825"/>
      <c r="AA46" s="825"/>
      <c r="AB46" s="825"/>
      <c r="AC46" s="831"/>
      <c r="AD46" s="831"/>
      <c r="AE46" s="831"/>
      <c r="AF46" s="831"/>
      <c r="AG46" s="831"/>
      <c r="AH46" s="831"/>
      <c r="AI46" s="831"/>
      <c r="AJ46" s="831"/>
      <c r="AK46" s="831"/>
      <c r="AL46" s="831"/>
      <c r="AM46" s="831"/>
      <c r="AN46" s="831"/>
      <c r="AO46" s="831"/>
      <c r="AP46" s="831"/>
      <c r="AQ46" s="831"/>
      <c r="AR46" s="831"/>
      <c r="AS46" s="831"/>
      <c r="AT46" s="831"/>
      <c r="AU46" s="831"/>
      <c r="AV46" s="831"/>
      <c r="AW46" s="833"/>
      <c r="AX46" s="833"/>
      <c r="AY46" s="833"/>
      <c r="AZ46" s="833"/>
      <c r="BA46" s="833"/>
      <c r="BB46" s="833"/>
      <c r="BC46" s="833"/>
      <c r="BD46" s="833"/>
      <c r="BE46" s="833"/>
      <c r="BF46" s="833"/>
      <c r="BG46" s="833"/>
      <c r="BH46" s="833"/>
      <c r="BI46" s="833"/>
      <c r="BJ46" s="833"/>
      <c r="BK46" s="833"/>
      <c r="BL46" s="833"/>
      <c r="BM46" s="833"/>
      <c r="BN46" s="833"/>
      <c r="BO46" s="833"/>
      <c r="BP46" s="833"/>
      <c r="BQ46" s="834"/>
      <c r="BR46" s="533"/>
      <c r="BS46" s="533"/>
      <c r="BT46" s="533"/>
      <c r="BU46" s="533"/>
      <c r="BV46" s="533"/>
      <c r="BW46" s="533"/>
      <c r="BX46" s="533"/>
      <c r="BY46" s="533"/>
      <c r="BZ46" s="533"/>
      <c r="CA46" s="533"/>
      <c r="CB46" s="533"/>
      <c r="CC46" s="533"/>
      <c r="CD46" s="533"/>
      <c r="CE46" s="533"/>
      <c r="CF46" s="534"/>
    </row>
    <row r="47" spans="3:84" ht="15.95" customHeight="1">
      <c r="C47" s="803"/>
      <c r="R47" s="535"/>
      <c r="S47" s="837"/>
      <c r="T47" s="825" t="s">
        <v>158</v>
      </c>
      <c r="U47" s="825"/>
      <c r="V47" s="825"/>
      <c r="W47" s="825"/>
      <c r="X47" s="825"/>
      <c r="Y47" s="825"/>
      <c r="Z47" s="825" t="s">
        <v>747</v>
      </c>
      <c r="AA47" s="825"/>
      <c r="AB47" s="825"/>
      <c r="AC47" s="825" t="s">
        <v>40</v>
      </c>
      <c r="AD47" s="825"/>
      <c r="AE47" s="825"/>
      <c r="AF47" s="825"/>
      <c r="AG47" s="825"/>
      <c r="AH47" s="825" t="s">
        <v>159</v>
      </c>
      <c r="AI47" s="825"/>
      <c r="AJ47" s="825"/>
      <c r="AK47" s="825"/>
      <c r="AL47" s="825"/>
      <c r="AM47" s="825" t="s">
        <v>216</v>
      </c>
      <c r="AN47" s="825"/>
      <c r="AO47" s="825"/>
      <c r="AP47" s="825"/>
      <c r="AQ47" s="825"/>
      <c r="AR47" s="825" t="s">
        <v>19</v>
      </c>
      <c r="AS47" s="825"/>
      <c r="AT47" s="825"/>
      <c r="AU47" s="825"/>
      <c r="AV47" s="825"/>
      <c r="AW47" s="833"/>
      <c r="AX47" s="833"/>
      <c r="AY47" s="833"/>
      <c r="AZ47" s="833"/>
      <c r="BA47" s="833"/>
      <c r="BB47" s="833"/>
      <c r="BC47" s="833"/>
      <c r="BD47" s="833"/>
      <c r="BE47" s="833"/>
      <c r="BF47" s="833"/>
      <c r="BG47" s="833"/>
      <c r="BH47" s="833"/>
      <c r="BI47" s="833"/>
      <c r="BJ47" s="833"/>
      <c r="BK47" s="833"/>
      <c r="BL47" s="833"/>
      <c r="BM47" s="833"/>
      <c r="BN47" s="833"/>
      <c r="BO47" s="833"/>
      <c r="BP47" s="833"/>
      <c r="BQ47" s="834"/>
      <c r="BR47" s="533"/>
      <c r="BS47" s="533"/>
      <c r="BT47" s="533"/>
      <c r="BU47" s="533"/>
      <c r="BV47" s="533"/>
      <c r="BW47" s="533"/>
      <c r="BX47" s="533"/>
      <c r="BY47" s="533"/>
      <c r="BZ47" s="533"/>
      <c r="CA47" s="533"/>
      <c r="CB47" s="533"/>
      <c r="CC47" s="533"/>
      <c r="CD47" s="533"/>
      <c r="CE47" s="533"/>
      <c r="CF47" s="534"/>
    </row>
    <row r="48" spans="3:84" ht="15.95" customHeight="1">
      <c r="C48" s="803"/>
      <c r="R48" s="535"/>
      <c r="S48" s="837"/>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825"/>
      <c r="AT48" s="825"/>
      <c r="AU48" s="825"/>
      <c r="AV48" s="825"/>
      <c r="AW48" s="833"/>
      <c r="AX48" s="833"/>
      <c r="AY48" s="833"/>
      <c r="AZ48" s="833"/>
      <c r="BA48" s="833"/>
      <c r="BB48" s="833"/>
      <c r="BC48" s="833"/>
      <c r="BD48" s="833"/>
      <c r="BE48" s="833"/>
      <c r="BF48" s="833"/>
      <c r="BG48" s="833"/>
      <c r="BH48" s="833"/>
      <c r="BI48" s="833"/>
      <c r="BJ48" s="833"/>
      <c r="BK48" s="833"/>
      <c r="BL48" s="833"/>
      <c r="BM48" s="833"/>
      <c r="BN48" s="833"/>
      <c r="BO48" s="833"/>
      <c r="BP48" s="833"/>
      <c r="BQ48" s="834"/>
      <c r="BR48" s="533"/>
      <c r="BS48" s="533"/>
      <c r="BT48" s="533"/>
      <c r="BU48" s="533"/>
      <c r="BV48" s="533"/>
      <c r="BW48" s="533"/>
      <c r="BX48" s="533"/>
      <c r="BY48" s="533"/>
      <c r="BZ48" s="533"/>
      <c r="CA48" s="533"/>
      <c r="CB48" s="533"/>
      <c r="CC48" s="533"/>
      <c r="CD48" s="533"/>
      <c r="CE48" s="533"/>
      <c r="CF48" s="534"/>
    </row>
    <row r="49" spans="3:84">
      <c r="C49" s="803"/>
      <c r="R49" s="535"/>
      <c r="S49" s="837"/>
      <c r="T49" s="825" t="s">
        <v>332</v>
      </c>
      <c r="U49" s="825"/>
      <c r="V49" s="825"/>
      <c r="W49" s="825"/>
      <c r="X49" s="825"/>
      <c r="Y49" s="825"/>
      <c r="Z49" s="825" t="s">
        <v>759</v>
      </c>
      <c r="AA49" s="825"/>
      <c r="AB49" s="825"/>
      <c r="AC49" s="839">
        <v>6</v>
      </c>
      <c r="AD49" s="839"/>
      <c r="AE49" s="839"/>
      <c r="AF49" s="839"/>
      <c r="AG49" s="839"/>
      <c r="AH49" s="839">
        <v>29.6</v>
      </c>
      <c r="AI49" s="839"/>
      <c r="AJ49" s="839"/>
      <c r="AK49" s="839"/>
      <c r="AL49" s="839"/>
      <c r="AM49" s="831">
        <v>5.2</v>
      </c>
      <c r="AN49" s="831"/>
      <c r="AO49" s="831"/>
      <c r="AP49" s="831"/>
      <c r="AQ49" s="831"/>
      <c r="AR49" s="831">
        <v>4.7</v>
      </c>
      <c r="AS49" s="831"/>
      <c r="AT49" s="831"/>
      <c r="AU49" s="831"/>
      <c r="AV49" s="831"/>
      <c r="AW49" s="833"/>
      <c r="AX49" s="833"/>
      <c r="AY49" s="833"/>
      <c r="AZ49" s="833"/>
      <c r="BA49" s="833"/>
      <c r="BB49" s="833"/>
      <c r="BC49" s="833"/>
      <c r="BD49" s="833"/>
      <c r="BE49" s="833"/>
      <c r="BF49" s="833"/>
      <c r="BG49" s="833"/>
      <c r="BH49" s="833"/>
      <c r="BI49" s="833"/>
      <c r="BJ49" s="833"/>
      <c r="BK49" s="833"/>
      <c r="BL49" s="833"/>
      <c r="BM49" s="833"/>
      <c r="BN49" s="833"/>
      <c r="BO49" s="833"/>
      <c r="BP49" s="833"/>
      <c r="BQ49" s="834"/>
      <c r="BR49" s="533"/>
      <c r="BS49" s="533"/>
      <c r="BT49" s="533"/>
      <c r="BU49" s="533"/>
      <c r="BV49" s="533"/>
      <c r="BW49" s="533"/>
      <c r="BX49" s="533"/>
      <c r="BY49" s="533"/>
      <c r="BZ49" s="533"/>
      <c r="CA49" s="533"/>
      <c r="CB49" s="533"/>
      <c r="CC49" s="533"/>
      <c r="CD49" s="533"/>
      <c r="CE49" s="533"/>
      <c r="CF49" s="534"/>
    </row>
    <row r="50" spans="3:84" ht="15" thickBot="1">
      <c r="C50" s="803"/>
      <c r="R50" s="535"/>
      <c r="S50" s="838"/>
      <c r="T50" s="827"/>
      <c r="U50" s="827"/>
      <c r="V50" s="827"/>
      <c r="W50" s="827"/>
      <c r="X50" s="827"/>
      <c r="Y50" s="827"/>
      <c r="Z50" s="827"/>
      <c r="AA50" s="827"/>
      <c r="AB50" s="827"/>
      <c r="AC50" s="840"/>
      <c r="AD50" s="840"/>
      <c r="AE50" s="840"/>
      <c r="AF50" s="840"/>
      <c r="AG50" s="840"/>
      <c r="AH50" s="840"/>
      <c r="AI50" s="840"/>
      <c r="AJ50" s="840"/>
      <c r="AK50" s="840"/>
      <c r="AL50" s="840"/>
      <c r="AM50" s="832"/>
      <c r="AN50" s="832"/>
      <c r="AO50" s="832"/>
      <c r="AP50" s="832"/>
      <c r="AQ50" s="832"/>
      <c r="AR50" s="832"/>
      <c r="AS50" s="832"/>
      <c r="AT50" s="832"/>
      <c r="AU50" s="832"/>
      <c r="AV50" s="832"/>
      <c r="AW50" s="835"/>
      <c r="AX50" s="835"/>
      <c r="AY50" s="835"/>
      <c r="AZ50" s="835"/>
      <c r="BA50" s="835"/>
      <c r="BB50" s="835"/>
      <c r="BC50" s="835"/>
      <c r="BD50" s="835"/>
      <c r="BE50" s="835"/>
      <c r="BF50" s="835"/>
      <c r="BG50" s="835"/>
      <c r="BH50" s="835"/>
      <c r="BI50" s="835"/>
      <c r="BJ50" s="835"/>
      <c r="BK50" s="835"/>
      <c r="BL50" s="835"/>
      <c r="BM50" s="835"/>
      <c r="BN50" s="835"/>
      <c r="BO50" s="835"/>
      <c r="BP50" s="835"/>
      <c r="BQ50" s="836"/>
      <c r="BR50" s="533"/>
      <c r="BS50" s="533"/>
      <c r="BT50" s="533"/>
      <c r="BU50" s="533"/>
      <c r="BV50" s="533"/>
      <c r="BW50" s="533"/>
      <c r="BX50" s="533"/>
      <c r="BY50" s="533"/>
      <c r="BZ50" s="533"/>
      <c r="CA50" s="533"/>
      <c r="CB50" s="533"/>
      <c r="CC50" s="533"/>
      <c r="CD50" s="533"/>
      <c r="CE50" s="533"/>
      <c r="CF50" s="534"/>
    </row>
    <row r="51" spans="3:84" ht="14.25" customHeight="1">
      <c r="C51" s="549"/>
      <c r="R51" s="535"/>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0"/>
      <c r="BL51" s="550"/>
      <c r="BM51" s="550"/>
      <c r="BN51" s="550"/>
      <c r="BO51" s="533"/>
      <c r="BP51" s="533"/>
      <c r="BQ51" s="533"/>
      <c r="BR51" s="533"/>
      <c r="BS51" s="533"/>
      <c r="BT51" s="533"/>
      <c r="BU51" s="533"/>
      <c r="BV51" s="533"/>
      <c r="BW51" s="533"/>
      <c r="BX51" s="533"/>
      <c r="BY51" s="533"/>
      <c r="BZ51" s="533"/>
      <c r="CA51" s="533"/>
      <c r="CB51" s="533"/>
      <c r="CC51" s="533"/>
      <c r="CD51" s="533"/>
      <c r="CE51" s="533"/>
      <c r="CF51" s="534"/>
    </row>
    <row r="52" spans="3:84" ht="15" customHeight="1">
      <c r="C52" s="803"/>
      <c r="R52" s="535"/>
      <c r="S52" s="779" t="s">
        <v>760</v>
      </c>
      <c r="T52" s="779"/>
      <c r="U52" s="779"/>
      <c r="V52" s="779"/>
      <c r="W52" s="779"/>
      <c r="X52" s="779"/>
      <c r="Y52" s="779"/>
      <c r="Z52" s="779"/>
      <c r="AA52" s="779"/>
      <c r="AB52" s="779"/>
      <c r="AC52" s="779"/>
      <c r="AD52" s="779"/>
      <c r="AE52" s="779"/>
      <c r="AF52" s="779"/>
      <c r="AG52" s="779"/>
      <c r="AH52" s="779"/>
      <c r="AI52" s="779"/>
      <c r="AJ52" s="779"/>
      <c r="AK52" s="550"/>
      <c r="AL52" s="550"/>
      <c r="AM52" s="551"/>
      <c r="AN52" s="551"/>
      <c r="AO52" s="551"/>
      <c r="AP52" s="551"/>
      <c r="AQ52" s="779" t="s">
        <v>761</v>
      </c>
      <c r="AR52" s="779"/>
      <c r="AS52" s="779"/>
      <c r="AT52" s="779"/>
      <c r="AU52" s="779"/>
      <c r="AV52" s="779"/>
      <c r="AW52" s="779"/>
      <c r="AX52" s="779"/>
      <c r="AY52" s="779"/>
      <c r="AZ52" s="779"/>
      <c r="BA52" s="779"/>
      <c r="BB52" s="779"/>
      <c r="BC52" s="551"/>
      <c r="BD52" s="551"/>
      <c r="BE52" s="551"/>
      <c r="BF52" s="551"/>
      <c r="BG52" s="551"/>
      <c r="BH52" s="551"/>
      <c r="BI52" s="551"/>
      <c r="BJ52" s="551"/>
      <c r="BK52" s="552"/>
      <c r="BL52" s="552"/>
      <c r="BM52" s="552"/>
      <c r="BN52" s="552"/>
      <c r="BO52" s="551"/>
      <c r="BP52" s="551"/>
      <c r="BQ52" s="551"/>
      <c r="BR52" s="551"/>
      <c r="BS52" s="551"/>
      <c r="BT52" s="551"/>
      <c r="BU52" s="551"/>
      <c r="BV52" s="551"/>
      <c r="BW52" s="551"/>
      <c r="BX52" s="551"/>
      <c r="BY52" s="551"/>
      <c r="BZ52" s="551"/>
      <c r="CA52" s="553"/>
      <c r="CB52" s="533"/>
      <c r="CC52" s="533"/>
      <c r="CD52" s="533"/>
      <c r="CE52" s="533"/>
      <c r="CF52" s="534"/>
    </row>
    <row r="53" spans="3:84" ht="15" customHeight="1" thickBot="1">
      <c r="C53" s="803"/>
      <c r="R53" s="535"/>
      <c r="S53" s="779"/>
      <c r="T53" s="779"/>
      <c r="U53" s="779"/>
      <c r="V53" s="779"/>
      <c r="W53" s="779"/>
      <c r="X53" s="779"/>
      <c r="Y53" s="779"/>
      <c r="Z53" s="779"/>
      <c r="AA53" s="779"/>
      <c r="AB53" s="779"/>
      <c r="AC53" s="779"/>
      <c r="AD53" s="779"/>
      <c r="AE53" s="779"/>
      <c r="AF53" s="779"/>
      <c r="AG53" s="779"/>
      <c r="AH53" s="779"/>
      <c r="AI53" s="779"/>
      <c r="AJ53" s="779"/>
      <c r="AK53" s="554"/>
      <c r="AL53" s="554"/>
      <c r="AM53" s="551"/>
      <c r="AN53" s="551"/>
      <c r="AO53" s="551"/>
      <c r="AP53" s="551"/>
      <c r="AQ53" s="779"/>
      <c r="AR53" s="779"/>
      <c r="AS53" s="779"/>
      <c r="AT53" s="779"/>
      <c r="AU53" s="779"/>
      <c r="AV53" s="779"/>
      <c r="AW53" s="779"/>
      <c r="AX53" s="779"/>
      <c r="AY53" s="779"/>
      <c r="AZ53" s="779"/>
      <c r="BA53" s="779"/>
      <c r="BB53" s="779"/>
      <c r="BC53" s="551"/>
      <c r="BD53" s="551"/>
      <c r="BE53" s="551"/>
      <c r="BF53" s="551"/>
      <c r="BG53" s="551"/>
      <c r="BH53" s="551"/>
      <c r="BI53" s="551"/>
      <c r="BJ53" s="551"/>
      <c r="BK53" s="552"/>
      <c r="BL53" s="552"/>
      <c r="BM53" s="552"/>
      <c r="BN53" s="552"/>
      <c r="BO53" s="551"/>
      <c r="BP53" s="551"/>
      <c r="BQ53" s="551"/>
      <c r="BR53" s="551"/>
      <c r="BS53" s="551"/>
      <c r="BT53" s="551"/>
      <c r="BU53" s="551"/>
      <c r="BV53" s="551"/>
      <c r="BW53" s="551"/>
      <c r="BX53" s="551"/>
      <c r="BY53" s="551"/>
      <c r="BZ53" s="551"/>
      <c r="CA53" s="553"/>
      <c r="CB53" s="533"/>
      <c r="CC53" s="533"/>
      <c r="CD53" s="533"/>
      <c r="CE53" s="533"/>
      <c r="CF53" s="534"/>
    </row>
    <row r="54" spans="3:84" ht="15" customHeight="1">
      <c r="C54" s="549"/>
      <c r="R54" s="535"/>
      <c r="S54" s="815" t="s">
        <v>23</v>
      </c>
      <c r="T54" s="816"/>
      <c r="U54" s="816"/>
      <c r="V54" s="816"/>
      <c r="W54" s="816"/>
      <c r="X54" s="816" t="s">
        <v>24</v>
      </c>
      <c r="Y54" s="816"/>
      <c r="Z54" s="816"/>
      <c r="AA54" s="816" t="s">
        <v>193</v>
      </c>
      <c r="AB54" s="816"/>
      <c r="AC54" s="816"/>
      <c r="AD54" s="816" t="s">
        <v>25</v>
      </c>
      <c r="AE54" s="816"/>
      <c r="AF54" s="816"/>
      <c r="AG54" s="816"/>
      <c r="AH54" s="816"/>
      <c r="AI54" s="816"/>
      <c r="AJ54" s="816"/>
      <c r="AK54" s="816"/>
      <c r="AL54" s="816"/>
      <c r="AM54" s="819"/>
      <c r="AN54" s="551"/>
      <c r="AO54" s="551"/>
      <c r="AP54" s="551"/>
      <c r="AQ54" s="815" t="s">
        <v>23</v>
      </c>
      <c r="AR54" s="816"/>
      <c r="AS54" s="816"/>
      <c r="AT54" s="821" t="s">
        <v>238</v>
      </c>
      <c r="AU54" s="821"/>
      <c r="AV54" s="821"/>
      <c r="AW54" s="821" t="s">
        <v>239</v>
      </c>
      <c r="AX54" s="821"/>
      <c r="AY54" s="821"/>
      <c r="AZ54" s="821" t="s">
        <v>240</v>
      </c>
      <c r="BA54" s="821"/>
      <c r="BB54" s="823"/>
      <c r="BC54" s="551"/>
      <c r="BD54" s="551"/>
      <c r="BE54" s="551"/>
      <c r="BF54" s="551"/>
      <c r="BG54" s="551"/>
      <c r="BH54" s="551"/>
      <c r="BI54" s="551"/>
      <c r="BJ54" s="551"/>
      <c r="BK54" s="552"/>
      <c r="BL54" s="552"/>
      <c r="BM54" s="552"/>
      <c r="BN54" s="552"/>
      <c r="BO54" s="551"/>
      <c r="BP54" s="551"/>
      <c r="BQ54" s="551"/>
      <c r="BR54" s="551"/>
      <c r="BS54" s="551"/>
      <c r="BT54" s="551"/>
      <c r="BU54" s="551"/>
      <c r="BV54" s="551"/>
      <c r="BW54" s="551"/>
      <c r="BX54" s="551"/>
      <c r="BY54" s="551"/>
      <c r="BZ54" s="551"/>
      <c r="CA54" s="553"/>
      <c r="CB54" s="533"/>
      <c r="CC54" s="533"/>
      <c r="CD54" s="533"/>
      <c r="CE54" s="533"/>
      <c r="CF54" s="534"/>
    </row>
    <row r="55" spans="3:84" ht="14.25" customHeight="1">
      <c r="C55" s="803"/>
      <c r="R55" s="535"/>
      <c r="S55" s="817"/>
      <c r="T55" s="818"/>
      <c r="U55" s="818"/>
      <c r="V55" s="818"/>
      <c r="W55" s="818"/>
      <c r="X55" s="818"/>
      <c r="Y55" s="818"/>
      <c r="Z55" s="818"/>
      <c r="AA55" s="818"/>
      <c r="AB55" s="818"/>
      <c r="AC55" s="818"/>
      <c r="AD55" s="818"/>
      <c r="AE55" s="818"/>
      <c r="AF55" s="818"/>
      <c r="AG55" s="818"/>
      <c r="AH55" s="818"/>
      <c r="AI55" s="818"/>
      <c r="AJ55" s="818"/>
      <c r="AK55" s="818"/>
      <c r="AL55" s="818"/>
      <c r="AM55" s="820"/>
      <c r="AN55" s="551"/>
      <c r="AO55" s="551"/>
      <c r="AP55" s="551"/>
      <c r="AQ55" s="817"/>
      <c r="AR55" s="818"/>
      <c r="AS55" s="818"/>
      <c r="AT55" s="822"/>
      <c r="AU55" s="822"/>
      <c r="AV55" s="822"/>
      <c r="AW55" s="822"/>
      <c r="AX55" s="822"/>
      <c r="AY55" s="822"/>
      <c r="AZ55" s="822"/>
      <c r="BA55" s="822"/>
      <c r="BB55" s="824"/>
      <c r="BC55" s="551"/>
      <c r="BD55" s="551"/>
      <c r="BE55" s="551"/>
      <c r="BF55" s="551"/>
      <c r="BG55" s="551"/>
      <c r="BH55" s="551"/>
      <c r="BI55" s="551"/>
      <c r="BJ55" s="551"/>
      <c r="BK55" s="553"/>
      <c r="BL55" s="553"/>
      <c r="BM55" s="553"/>
      <c r="BN55" s="553"/>
      <c r="BO55" s="551"/>
      <c r="BP55" s="551"/>
      <c r="BQ55" s="551"/>
      <c r="BR55" s="551"/>
      <c r="BS55" s="551"/>
      <c r="BT55" s="551"/>
      <c r="BU55" s="551"/>
      <c r="BV55" s="551"/>
      <c r="BW55" s="551"/>
      <c r="BX55" s="551"/>
      <c r="BY55" s="551"/>
      <c r="BZ55" s="551"/>
      <c r="CA55" s="553"/>
      <c r="CB55" s="533"/>
      <c r="CC55" s="533"/>
      <c r="CD55" s="533"/>
      <c r="CE55" s="533"/>
      <c r="CF55" s="534"/>
    </row>
    <row r="56" spans="3:84" ht="14.25" customHeight="1">
      <c r="C56" s="803"/>
      <c r="R56" s="535"/>
      <c r="S56" s="804" t="s">
        <v>490</v>
      </c>
      <c r="T56" s="805"/>
      <c r="U56" s="805"/>
      <c r="V56" s="805"/>
      <c r="W56" s="805"/>
      <c r="X56" s="805" t="s">
        <v>192</v>
      </c>
      <c r="Y56" s="805"/>
      <c r="Z56" s="805"/>
      <c r="AA56" s="808">
        <v>11</v>
      </c>
      <c r="AB56" s="808"/>
      <c r="AC56" s="808"/>
      <c r="AD56" s="825" t="s">
        <v>762</v>
      </c>
      <c r="AE56" s="825"/>
      <c r="AF56" s="825"/>
      <c r="AG56" s="825"/>
      <c r="AH56" s="825"/>
      <c r="AI56" s="825"/>
      <c r="AJ56" s="825"/>
      <c r="AK56" s="825"/>
      <c r="AL56" s="825"/>
      <c r="AM56" s="826"/>
      <c r="AN56" s="551"/>
      <c r="AO56" s="551"/>
      <c r="AP56" s="551"/>
      <c r="AQ56" s="804" t="s">
        <v>95</v>
      </c>
      <c r="AR56" s="805"/>
      <c r="AS56" s="805"/>
      <c r="AT56" s="810">
        <v>0.1</v>
      </c>
      <c r="AU56" s="810"/>
      <c r="AV56" s="810"/>
      <c r="AW56" s="798">
        <v>2.3E-2</v>
      </c>
      <c r="AX56" s="798"/>
      <c r="AY56" s="798"/>
      <c r="AZ56" s="799">
        <v>20</v>
      </c>
      <c r="BA56" s="799"/>
      <c r="BB56" s="800"/>
      <c r="BC56" s="551"/>
      <c r="BD56" s="551"/>
      <c r="BE56" s="551"/>
      <c r="BF56" s="551"/>
      <c r="BG56" s="551"/>
      <c r="BH56" s="551"/>
      <c r="BI56" s="551"/>
      <c r="BJ56" s="551"/>
      <c r="BK56" s="553"/>
      <c r="BL56" s="553"/>
      <c r="BM56" s="553"/>
      <c r="BN56" s="553"/>
      <c r="BO56" s="551"/>
      <c r="BP56" s="551"/>
      <c r="BQ56" s="551"/>
      <c r="BR56" s="551"/>
      <c r="BS56" s="551"/>
      <c r="BT56" s="551"/>
      <c r="BU56" s="551"/>
      <c r="BV56" s="551"/>
      <c r="BW56" s="551"/>
      <c r="BX56" s="551"/>
      <c r="BY56" s="551"/>
      <c r="BZ56" s="551"/>
      <c r="CA56" s="553"/>
      <c r="CB56" s="533"/>
      <c r="CC56" s="533"/>
      <c r="CD56" s="533"/>
      <c r="CE56" s="533"/>
      <c r="CF56" s="534"/>
    </row>
    <row r="57" spans="3:84">
      <c r="C57" s="803"/>
      <c r="R57" s="535"/>
      <c r="S57" s="804"/>
      <c r="T57" s="805"/>
      <c r="U57" s="805"/>
      <c r="V57" s="805"/>
      <c r="W57" s="805"/>
      <c r="X57" s="805"/>
      <c r="Y57" s="805"/>
      <c r="Z57" s="805"/>
      <c r="AA57" s="808"/>
      <c r="AB57" s="808"/>
      <c r="AC57" s="808"/>
      <c r="AD57" s="825"/>
      <c r="AE57" s="825"/>
      <c r="AF57" s="825"/>
      <c r="AG57" s="825"/>
      <c r="AH57" s="825"/>
      <c r="AI57" s="825"/>
      <c r="AJ57" s="825"/>
      <c r="AK57" s="825"/>
      <c r="AL57" s="825"/>
      <c r="AM57" s="826"/>
      <c r="AN57" s="551"/>
      <c r="AO57" s="551"/>
      <c r="AP57" s="551"/>
      <c r="AQ57" s="804"/>
      <c r="AR57" s="805"/>
      <c r="AS57" s="805"/>
      <c r="AT57" s="810"/>
      <c r="AU57" s="810"/>
      <c r="AV57" s="810"/>
      <c r="AW57" s="798"/>
      <c r="AX57" s="798"/>
      <c r="AY57" s="798"/>
      <c r="AZ57" s="799"/>
      <c r="BA57" s="799"/>
      <c r="BB57" s="800"/>
      <c r="BC57" s="551"/>
      <c r="BD57" s="551"/>
      <c r="BE57" s="551"/>
      <c r="BF57" s="551"/>
      <c r="BG57" s="551"/>
      <c r="BH57" s="551"/>
      <c r="BI57" s="551"/>
      <c r="BJ57" s="551"/>
      <c r="BK57" s="553"/>
      <c r="BL57" s="553"/>
      <c r="BM57" s="553"/>
      <c r="BN57" s="553"/>
      <c r="BO57" s="551"/>
      <c r="BP57" s="551"/>
      <c r="BQ57" s="551"/>
      <c r="BR57" s="551"/>
      <c r="BS57" s="551"/>
      <c r="BT57" s="551"/>
      <c r="BU57" s="551"/>
      <c r="BV57" s="551"/>
      <c r="BW57" s="551"/>
      <c r="BX57" s="551"/>
      <c r="BY57" s="551"/>
      <c r="BZ57" s="551"/>
      <c r="CA57" s="553"/>
      <c r="CB57" s="533"/>
      <c r="CC57" s="533"/>
      <c r="CD57" s="533"/>
      <c r="CE57" s="533"/>
      <c r="CF57" s="534"/>
    </row>
    <row r="58" spans="3:84">
      <c r="C58" s="803"/>
      <c r="R58" s="535"/>
      <c r="S58" s="804" t="s">
        <v>491</v>
      </c>
      <c r="T58" s="805"/>
      <c r="U58" s="805"/>
      <c r="V58" s="805"/>
      <c r="W58" s="805"/>
      <c r="X58" s="805" t="s">
        <v>138</v>
      </c>
      <c r="Y58" s="805"/>
      <c r="Z58" s="805"/>
      <c r="AA58" s="808">
        <v>69</v>
      </c>
      <c r="AB58" s="808"/>
      <c r="AC58" s="808"/>
      <c r="AD58" s="825"/>
      <c r="AE58" s="825"/>
      <c r="AF58" s="825"/>
      <c r="AG58" s="825"/>
      <c r="AH58" s="825"/>
      <c r="AI58" s="825"/>
      <c r="AJ58" s="825"/>
      <c r="AK58" s="825"/>
      <c r="AL58" s="825"/>
      <c r="AM58" s="826"/>
      <c r="AN58" s="551"/>
      <c r="AO58" s="551"/>
      <c r="AP58" s="551"/>
      <c r="AQ58" s="804" t="s">
        <v>146</v>
      </c>
      <c r="AR58" s="805"/>
      <c r="AS58" s="805"/>
      <c r="AT58" s="810">
        <v>0.1</v>
      </c>
      <c r="AU58" s="810"/>
      <c r="AV58" s="810"/>
      <c r="AW58" s="798">
        <v>2.3E-2</v>
      </c>
      <c r="AX58" s="798"/>
      <c r="AY58" s="798"/>
      <c r="AZ58" s="799">
        <v>15</v>
      </c>
      <c r="BA58" s="799"/>
      <c r="BB58" s="800"/>
      <c r="BC58" s="551"/>
      <c r="BD58" s="551"/>
      <c r="BE58" s="551"/>
      <c r="BF58" s="551"/>
      <c r="BG58" s="551"/>
      <c r="BH58" s="551"/>
      <c r="BI58" s="551"/>
      <c r="BJ58" s="551"/>
      <c r="BK58" s="553"/>
      <c r="BL58" s="553"/>
      <c r="BM58" s="553"/>
      <c r="BN58" s="553"/>
      <c r="BO58" s="551"/>
      <c r="BP58" s="551"/>
      <c r="BQ58" s="551"/>
      <c r="BR58" s="551"/>
      <c r="BS58" s="551"/>
      <c r="BT58" s="551"/>
      <c r="BU58" s="551"/>
      <c r="BV58" s="551"/>
      <c r="BW58" s="551"/>
      <c r="BX58" s="551"/>
      <c r="BY58" s="551"/>
      <c r="BZ58" s="551"/>
      <c r="CA58" s="553"/>
      <c r="CB58" s="533"/>
      <c r="CC58" s="533"/>
      <c r="CD58" s="533"/>
      <c r="CE58" s="533"/>
      <c r="CF58" s="534"/>
    </row>
    <row r="59" spans="3:84" ht="15" thickBot="1">
      <c r="C59" s="803"/>
      <c r="R59" s="535"/>
      <c r="S59" s="806"/>
      <c r="T59" s="807"/>
      <c r="U59" s="807"/>
      <c r="V59" s="807"/>
      <c r="W59" s="807"/>
      <c r="X59" s="807"/>
      <c r="Y59" s="807"/>
      <c r="Z59" s="807"/>
      <c r="AA59" s="809"/>
      <c r="AB59" s="809"/>
      <c r="AC59" s="809"/>
      <c r="AD59" s="827"/>
      <c r="AE59" s="827"/>
      <c r="AF59" s="827"/>
      <c r="AG59" s="827"/>
      <c r="AH59" s="827"/>
      <c r="AI59" s="827"/>
      <c r="AJ59" s="827"/>
      <c r="AK59" s="827"/>
      <c r="AL59" s="827"/>
      <c r="AM59" s="828"/>
      <c r="AN59" s="551"/>
      <c r="AO59" s="551"/>
      <c r="AP59" s="551"/>
      <c r="AQ59" s="804"/>
      <c r="AR59" s="805"/>
      <c r="AS59" s="805"/>
      <c r="AT59" s="810"/>
      <c r="AU59" s="810"/>
      <c r="AV59" s="810"/>
      <c r="AW59" s="798"/>
      <c r="AX59" s="798"/>
      <c r="AY59" s="798"/>
      <c r="AZ59" s="799"/>
      <c r="BA59" s="799"/>
      <c r="BB59" s="800"/>
      <c r="BC59" s="551"/>
      <c r="BD59" s="551"/>
      <c r="BE59" s="551"/>
      <c r="BF59" s="551"/>
      <c r="BG59" s="551"/>
      <c r="BH59" s="551"/>
      <c r="BI59" s="551"/>
      <c r="BJ59" s="551"/>
      <c r="BK59" s="553"/>
      <c r="BL59" s="553"/>
      <c r="BM59" s="553"/>
      <c r="BN59" s="553"/>
      <c r="BO59" s="551"/>
      <c r="BP59" s="551"/>
      <c r="BQ59" s="551"/>
      <c r="BR59" s="551"/>
      <c r="BS59" s="551"/>
      <c r="BT59" s="551"/>
      <c r="BU59" s="551"/>
      <c r="BV59" s="551"/>
      <c r="BW59" s="551"/>
      <c r="BX59" s="551"/>
      <c r="BY59" s="551"/>
      <c r="BZ59" s="551"/>
      <c r="CA59" s="553"/>
      <c r="CB59" s="533"/>
      <c r="CC59" s="533"/>
      <c r="CD59" s="533"/>
      <c r="CE59" s="533"/>
      <c r="CF59" s="534"/>
    </row>
    <row r="60" spans="3:84">
      <c r="C60" s="803"/>
      <c r="R60" s="535"/>
      <c r="S60" s="550"/>
      <c r="T60" s="550"/>
      <c r="U60" s="550"/>
      <c r="V60" s="550"/>
      <c r="W60" s="550"/>
      <c r="X60" s="550"/>
      <c r="Y60" s="550"/>
      <c r="Z60" s="550"/>
      <c r="AA60" s="550"/>
      <c r="AB60" s="550"/>
      <c r="AC60" s="550"/>
      <c r="AD60" s="550"/>
      <c r="AE60" s="550"/>
      <c r="AF60" s="550"/>
      <c r="AG60" s="550"/>
      <c r="AH60" s="550"/>
      <c r="AI60" s="550"/>
      <c r="AJ60" s="550"/>
      <c r="AK60" s="550"/>
      <c r="AL60" s="550"/>
      <c r="AM60" s="551"/>
      <c r="AN60" s="551"/>
      <c r="AO60" s="551"/>
      <c r="AP60" s="551"/>
      <c r="AQ60" s="804" t="s">
        <v>8</v>
      </c>
      <c r="AR60" s="805"/>
      <c r="AS60" s="805"/>
      <c r="AT60" s="810">
        <v>0.1</v>
      </c>
      <c r="AU60" s="810"/>
      <c r="AV60" s="810"/>
      <c r="AW60" s="798">
        <v>2.3E-2</v>
      </c>
      <c r="AX60" s="798"/>
      <c r="AY60" s="798"/>
      <c r="AZ60" s="799">
        <v>40</v>
      </c>
      <c r="BA60" s="799"/>
      <c r="BB60" s="800"/>
      <c r="BC60" s="551"/>
      <c r="BD60" s="551"/>
      <c r="BE60" s="551"/>
      <c r="BF60" s="551"/>
      <c r="BG60" s="551"/>
      <c r="BH60" s="551"/>
      <c r="BI60" s="551"/>
      <c r="BJ60" s="551"/>
      <c r="BK60" s="553"/>
      <c r="BL60" s="553"/>
      <c r="BM60" s="553"/>
      <c r="BN60" s="553"/>
      <c r="BO60" s="551"/>
      <c r="BP60" s="551"/>
      <c r="BQ60" s="551"/>
      <c r="BR60" s="551"/>
      <c r="BS60" s="551"/>
      <c r="BT60" s="551"/>
      <c r="BU60" s="551"/>
      <c r="BV60" s="551"/>
      <c r="BW60" s="551"/>
      <c r="BX60" s="551"/>
      <c r="BY60" s="551"/>
      <c r="BZ60" s="551"/>
      <c r="CA60" s="553"/>
      <c r="CB60" s="533"/>
      <c r="CC60" s="533"/>
      <c r="CD60" s="533"/>
      <c r="CE60" s="533"/>
      <c r="CF60" s="534"/>
    </row>
    <row r="61" spans="3:84" ht="15" thickBot="1">
      <c r="C61" s="803"/>
      <c r="R61" s="535"/>
      <c r="S61" s="550"/>
      <c r="T61" s="550"/>
      <c r="U61" s="550"/>
      <c r="V61" s="550"/>
      <c r="W61" s="550"/>
      <c r="X61" s="550"/>
      <c r="Y61" s="550"/>
      <c r="Z61" s="550"/>
      <c r="AA61" s="550"/>
      <c r="AB61" s="550"/>
      <c r="AC61" s="550"/>
      <c r="AD61" s="550"/>
      <c r="AE61" s="550"/>
      <c r="AF61" s="550"/>
      <c r="AG61" s="550"/>
      <c r="AH61" s="550"/>
      <c r="AI61" s="550"/>
      <c r="AJ61" s="550"/>
      <c r="AK61" s="550"/>
      <c r="AL61" s="550"/>
      <c r="AM61" s="551"/>
      <c r="AN61" s="551"/>
      <c r="AO61" s="551"/>
      <c r="AP61" s="551"/>
      <c r="AQ61" s="806"/>
      <c r="AR61" s="807"/>
      <c r="AS61" s="807"/>
      <c r="AT61" s="829"/>
      <c r="AU61" s="829"/>
      <c r="AV61" s="829"/>
      <c r="AW61" s="830"/>
      <c r="AX61" s="830"/>
      <c r="AY61" s="830"/>
      <c r="AZ61" s="801"/>
      <c r="BA61" s="801"/>
      <c r="BB61" s="802"/>
      <c r="BC61" s="551"/>
      <c r="BD61" s="551"/>
      <c r="BE61" s="551"/>
      <c r="BF61" s="551"/>
      <c r="BG61" s="551"/>
      <c r="BH61" s="551"/>
      <c r="BI61" s="551"/>
      <c r="BJ61" s="551"/>
      <c r="BK61" s="553"/>
      <c r="BL61" s="553"/>
      <c r="BM61" s="553"/>
      <c r="BN61" s="553"/>
      <c r="BO61" s="551"/>
      <c r="BP61" s="551"/>
      <c r="BQ61" s="551"/>
      <c r="BR61" s="551"/>
      <c r="BS61" s="551"/>
      <c r="BT61" s="551"/>
      <c r="BU61" s="551"/>
      <c r="BV61" s="551"/>
      <c r="BW61" s="551"/>
      <c r="BX61" s="551"/>
      <c r="BY61" s="551"/>
      <c r="BZ61" s="551"/>
      <c r="CA61" s="553"/>
      <c r="CB61" s="533"/>
      <c r="CC61" s="533"/>
      <c r="CD61" s="533"/>
      <c r="CE61" s="533"/>
      <c r="CF61" s="534"/>
    </row>
    <row r="62" spans="3:84" ht="15" thickBot="1">
      <c r="C62" s="803"/>
      <c r="R62" s="555"/>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556"/>
      <c r="BE62" s="556"/>
      <c r="BF62" s="556"/>
      <c r="BG62" s="556"/>
      <c r="BH62" s="556"/>
      <c r="BI62" s="556"/>
      <c r="BJ62" s="556"/>
      <c r="BK62" s="556"/>
      <c r="BL62" s="556"/>
      <c r="BM62" s="556"/>
      <c r="BN62" s="556"/>
      <c r="BO62" s="557"/>
      <c r="BP62" s="557"/>
      <c r="BQ62" s="557"/>
      <c r="BR62" s="557"/>
      <c r="BS62" s="557"/>
      <c r="BT62" s="557"/>
      <c r="BU62" s="557"/>
      <c r="BV62" s="557"/>
      <c r="BW62" s="557"/>
      <c r="BX62" s="557"/>
      <c r="BY62" s="557"/>
      <c r="BZ62" s="557"/>
      <c r="CA62" s="557"/>
      <c r="CB62" s="557"/>
      <c r="CC62" s="557"/>
      <c r="CD62" s="557"/>
      <c r="CE62" s="557"/>
      <c r="CF62" s="558"/>
    </row>
    <row r="63" spans="3:84">
      <c r="C63" s="549"/>
      <c r="S63" s="559"/>
      <c r="T63" s="559"/>
      <c r="U63" s="559"/>
      <c r="V63" s="559"/>
      <c r="W63" s="559"/>
      <c r="X63" s="559"/>
      <c r="Y63" s="559"/>
      <c r="Z63" s="559"/>
      <c r="AA63" s="559"/>
      <c r="AB63" s="559"/>
      <c r="AC63" s="559"/>
      <c r="AD63" s="559"/>
      <c r="AE63" s="559"/>
      <c r="AF63" s="559"/>
      <c r="AG63" s="559"/>
      <c r="AH63" s="559"/>
      <c r="AI63" s="559"/>
      <c r="AJ63" s="559"/>
      <c r="AK63" s="559"/>
      <c r="AL63" s="559"/>
      <c r="AM63" s="559"/>
      <c r="AN63" s="559"/>
      <c r="AO63" s="559"/>
      <c r="AP63" s="559"/>
      <c r="AQ63" s="559"/>
      <c r="AR63" s="559"/>
      <c r="AS63" s="559"/>
      <c r="AT63" s="559"/>
      <c r="AU63" s="559"/>
      <c r="AV63" s="559"/>
      <c r="AW63" s="559"/>
      <c r="AX63" s="559"/>
      <c r="AY63" s="559"/>
      <c r="AZ63" s="559"/>
      <c r="BA63" s="559"/>
      <c r="BB63" s="559"/>
      <c r="BC63" s="559"/>
      <c r="BD63" s="559"/>
      <c r="BE63" s="559"/>
      <c r="BF63" s="559"/>
      <c r="BG63" s="559"/>
      <c r="BH63" s="559"/>
      <c r="BI63" s="559"/>
      <c r="BJ63" s="559"/>
      <c r="BK63" s="559"/>
      <c r="BL63" s="559"/>
      <c r="BM63" s="559"/>
      <c r="BN63" s="559"/>
    </row>
    <row r="64" spans="3:84" ht="15" thickBot="1">
      <c r="C64" s="528"/>
      <c r="S64" s="559"/>
      <c r="T64" s="559"/>
      <c r="U64" s="559"/>
      <c r="V64" s="559"/>
      <c r="W64" s="559"/>
      <c r="X64" s="559"/>
      <c r="Y64" s="559"/>
      <c r="Z64" s="559"/>
      <c r="AA64" s="559"/>
      <c r="AB64" s="559"/>
      <c r="AC64" s="559"/>
      <c r="AD64" s="559"/>
      <c r="AE64" s="559"/>
      <c r="AF64" s="559"/>
      <c r="AG64" s="559"/>
      <c r="AH64" s="559"/>
      <c r="AI64" s="559"/>
      <c r="AJ64" s="559"/>
      <c r="AK64" s="559"/>
      <c r="AL64" s="559"/>
      <c r="AM64" s="559"/>
      <c r="AN64" s="559"/>
      <c r="AO64" s="559"/>
      <c r="AP64" s="559"/>
      <c r="AQ64" s="559"/>
      <c r="AR64" s="559"/>
      <c r="AS64" s="559"/>
      <c r="AT64" s="559"/>
      <c r="AU64" s="559"/>
      <c r="AV64" s="559"/>
      <c r="AW64" s="559"/>
      <c r="AX64" s="559"/>
      <c r="AY64" s="559"/>
      <c r="AZ64" s="559"/>
      <c r="BA64" s="559"/>
      <c r="BB64" s="559"/>
      <c r="BC64" s="559"/>
      <c r="BD64" s="559"/>
      <c r="BE64" s="559"/>
      <c r="BF64" s="559"/>
      <c r="BG64" s="559"/>
      <c r="BH64" s="559"/>
      <c r="BI64" s="559"/>
      <c r="BJ64" s="559"/>
      <c r="BK64" s="559"/>
      <c r="BL64" s="559"/>
      <c r="BM64" s="559"/>
      <c r="BN64" s="559"/>
    </row>
    <row r="65" spans="3:84">
      <c r="C65" s="528"/>
      <c r="R65" s="811"/>
      <c r="S65" s="812" t="s">
        <v>763</v>
      </c>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13"/>
      <c r="AY65" s="560"/>
      <c r="AZ65" s="560"/>
      <c r="BA65" s="560"/>
      <c r="BB65" s="560"/>
      <c r="BC65" s="560"/>
      <c r="BD65" s="560"/>
      <c r="BE65" s="560"/>
      <c r="BF65" s="560"/>
      <c r="BG65" s="560"/>
      <c r="BH65" s="560"/>
      <c r="BI65" s="560"/>
      <c r="BJ65" s="560"/>
      <c r="BK65" s="560"/>
      <c r="BL65" s="560"/>
      <c r="BM65" s="560"/>
      <c r="BN65" s="560"/>
      <c r="BO65" s="561"/>
      <c r="BP65" s="561"/>
      <c r="BQ65" s="561"/>
      <c r="BR65" s="561"/>
      <c r="BS65" s="561"/>
      <c r="BT65" s="561"/>
      <c r="BU65" s="561"/>
      <c r="BV65" s="561"/>
      <c r="BW65" s="561"/>
      <c r="BX65" s="561"/>
      <c r="BY65" s="561"/>
      <c r="BZ65" s="561"/>
      <c r="CA65" s="561"/>
      <c r="CB65" s="561"/>
      <c r="CC65" s="561"/>
      <c r="CD65" s="561"/>
      <c r="CE65" s="561"/>
      <c r="CF65" s="531"/>
    </row>
    <row r="66" spans="3:84">
      <c r="C66" s="528"/>
      <c r="R66" s="693"/>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550"/>
      <c r="AZ66" s="550"/>
      <c r="BA66" s="550"/>
      <c r="BB66" s="550"/>
      <c r="BC66" s="550"/>
      <c r="BD66" s="550"/>
      <c r="BE66" s="550"/>
      <c r="BF66" s="550"/>
      <c r="BG66" s="550"/>
      <c r="BH66" s="550"/>
      <c r="BI66" s="550"/>
      <c r="BJ66" s="550"/>
      <c r="BK66" s="550"/>
      <c r="BL66" s="550"/>
      <c r="BM66" s="550"/>
      <c r="BN66" s="550"/>
      <c r="BO66" s="533"/>
      <c r="BP66" s="533"/>
      <c r="BQ66" s="533"/>
      <c r="BR66" s="533"/>
      <c r="BS66" s="533"/>
      <c r="BT66" s="533"/>
      <c r="BU66" s="533"/>
      <c r="BV66" s="533"/>
      <c r="BW66" s="533"/>
      <c r="BX66" s="533"/>
      <c r="BY66" s="533"/>
      <c r="BZ66" s="533"/>
      <c r="CA66" s="533"/>
      <c r="CB66" s="533"/>
      <c r="CC66" s="533"/>
      <c r="CD66" s="533"/>
      <c r="CE66" s="533"/>
      <c r="CF66" s="534"/>
    </row>
    <row r="67" spans="3:84" ht="14.25" customHeight="1" thickBot="1">
      <c r="C67" s="528"/>
      <c r="R67" s="562"/>
      <c r="S67" s="814"/>
      <c r="T67" s="814"/>
      <c r="U67" s="814"/>
      <c r="V67" s="814"/>
      <c r="W67" s="814"/>
      <c r="X67" s="814"/>
      <c r="Y67" s="814"/>
      <c r="Z67" s="814"/>
      <c r="AA67" s="814"/>
      <c r="AB67" s="814"/>
      <c r="AC67" s="814"/>
      <c r="AD67" s="814"/>
      <c r="AE67" s="814"/>
      <c r="AF67" s="814"/>
      <c r="AG67" s="814"/>
      <c r="AH67" s="814"/>
      <c r="AI67" s="814"/>
      <c r="AJ67" s="814"/>
      <c r="AK67" s="814"/>
      <c r="AL67" s="814"/>
      <c r="AM67" s="814"/>
      <c r="AN67" s="814"/>
      <c r="AO67" s="814"/>
      <c r="AP67" s="814"/>
      <c r="AQ67" s="814"/>
      <c r="AR67" s="814"/>
      <c r="AS67" s="814"/>
      <c r="AT67" s="814"/>
      <c r="AU67" s="814"/>
      <c r="AV67" s="814"/>
      <c r="AW67" s="814"/>
      <c r="AX67" s="814"/>
      <c r="AY67" s="533"/>
      <c r="AZ67" s="533"/>
      <c r="BA67" s="533"/>
      <c r="BB67" s="533"/>
      <c r="BC67" s="533"/>
      <c r="BD67" s="533"/>
      <c r="BE67" s="533"/>
      <c r="BF67" s="533"/>
      <c r="BG67" s="533"/>
      <c r="BH67" s="533"/>
      <c r="BI67" s="533"/>
      <c r="BJ67" s="533"/>
      <c r="BK67" s="533"/>
      <c r="BL67" s="533"/>
      <c r="BM67" s="533"/>
      <c r="BN67" s="533"/>
      <c r="BO67" s="533"/>
      <c r="BP67" s="533"/>
      <c r="BQ67" s="533"/>
      <c r="BR67" s="533"/>
      <c r="BS67" s="533"/>
      <c r="BT67" s="533"/>
      <c r="BU67" s="533"/>
      <c r="BV67" s="533"/>
      <c r="BW67" s="533"/>
      <c r="BX67" s="533"/>
      <c r="BY67" s="533"/>
      <c r="BZ67" s="533"/>
      <c r="CA67" s="533"/>
      <c r="CB67" s="533"/>
      <c r="CC67" s="533"/>
      <c r="CD67" s="533"/>
      <c r="CE67" s="533"/>
      <c r="CF67" s="534"/>
    </row>
    <row r="68" spans="3:84" ht="15" customHeight="1">
      <c r="C68" s="528"/>
      <c r="R68" s="562"/>
      <c r="S68" s="781" t="s">
        <v>511</v>
      </c>
      <c r="T68" s="782"/>
      <c r="U68" s="783"/>
      <c r="V68" s="790" t="str">
        <f>+[1]⑥算定結果!$E$44</f>
        <v>「いしかわモデル」の導入による、事業費の低減が期待できます。</v>
      </c>
      <c r="W68" s="790"/>
      <c r="X68" s="790"/>
      <c r="Y68" s="790"/>
      <c r="Z68" s="790"/>
      <c r="AA68" s="790"/>
      <c r="AB68" s="790"/>
      <c r="AC68" s="790"/>
      <c r="AD68" s="790"/>
      <c r="AE68" s="790"/>
      <c r="AF68" s="790"/>
      <c r="AG68" s="790"/>
      <c r="AH68" s="790"/>
      <c r="AI68" s="790"/>
      <c r="AJ68" s="790"/>
      <c r="AK68" s="790"/>
      <c r="AL68" s="790"/>
      <c r="AM68" s="790"/>
      <c r="AN68" s="790"/>
      <c r="AO68" s="790"/>
      <c r="AP68" s="790"/>
      <c r="AQ68" s="791"/>
      <c r="AR68" s="796" t="str">
        <f>+[1]⑥算定結果!$B$46</f>
        <v/>
      </c>
      <c r="AS68" s="797"/>
      <c r="AT68" s="797"/>
      <c r="AU68" s="792" t="str">
        <f>+[1]⑥算定結果!$E$46</f>
        <v/>
      </c>
      <c r="AV68" s="792"/>
      <c r="AW68" s="792"/>
      <c r="AX68" s="792"/>
      <c r="AY68" s="792"/>
      <c r="AZ68" s="792"/>
      <c r="BA68" s="792"/>
      <c r="BB68" s="792"/>
      <c r="BC68" s="792"/>
      <c r="BD68" s="792"/>
      <c r="BE68" s="792"/>
      <c r="BF68" s="792"/>
      <c r="BG68" s="792"/>
      <c r="BH68" s="792"/>
      <c r="BI68" s="792"/>
      <c r="BJ68" s="792"/>
      <c r="BK68" s="792"/>
      <c r="BL68" s="792"/>
      <c r="BM68" s="792"/>
      <c r="BN68" s="792"/>
      <c r="BO68" s="792"/>
      <c r="BP68" s="792"/>
      <c r="BQ68" s="533"/>
      <c r="BR68" s="533"/>
      <c r="BS68" s="533"/>
      <c r="BT68" s="533"/>
      <c r="BU68" s="533"/>
      <c r="BV68" s="533"/>
      <c r="BW68" s="533"/>
      <c r="BX68" s="533"/>
      <c r="BY68" s="533"/>
      <c r="BZ68" s="533"/>
      <c r="CA68" s="533"/>
      <c r="CB68" s="533"/>
      <c r="CC68" s="533"/>
      <c r="CD68" s="533"/>
      <c r="CE68" s="533"/>
      <c r="CF68" s="534"/>
    </row>
    <row r="69" spans="3:84" ht="15" customHeight="1">
      <c r="C69" s="528"/>
      <c r="R69" s="693"/>
      <c r="S69" s="784"/>
      <c r="T69" s="785"/>
      <c r="U69" s="786"/>
      <c r="V69" s="792"/>
      <c r="W69" s="792"/>
      <c r="X69" s="792"/>
      <c r="Y69" s="792"/>
      <c r="Z69" s="792"/>
      <c r="AA69" s="792"/>
      <c r="AB69" s="792"/>
      <c r="AC69" s="792"/>
      <c r="AD69" s="792"/>
      <c r="AE69" s="792"/>
      <c r="AF69" s="792"/>
      <c r="AG69" s="792"/>
      <c r="AH69" s="792"/>
      <c r="AI69" s="792"/>
      <c r="AJ69" s="792"/>
      <c r="AK69" s="792"/>
      <c r="AL69" s="792"/>
      <c r="AM69" s="792"/>
      <c r="AN69" s="792"/>
      <c r="AO69" s="792"/>
      <c r="AP69" s="792"/>
      <c r="AQ69" s="793"/>
      <c r="AR69" s="796"/>
      <c r="AS69" s="797"/>
      <c r="AT69" s="797"/>
      <c r="AU69" s="792"/>
      <c r="AV69" s="792"/>
      <c r="AW69" s="792"/>
      <c r="AX69" s="792"/>
      <c r="AY69" s="792"/>
      <c r="AZ69" s="792"/>
      <c r="BA69" s="792"/>
      <c r="BB69" s="792"/>
      <c r="BC69" s="792"/>
      <c r="BD69" s="792"/>
      <c r="BE69" s="792"/>
      <c r="BF69" s="792"/>
      <c r="BG69" s="792"/>
      <c r="BH69" s="792"/>
      <c r="BI69" s="792"/>
      <c r="BJ69" s="792"/>
      <c r="BK69" s="792"/>
      <c r="BL69" s="792"/>
      <c r="BM69" s="792"/>
      <c r="BN69" s="792"/>
      <c r="BO69" s="792"/>
      <c r="BP69" s="792"/>
      <c r="BQ69" s="533"/>
      <c r="BR69" s="533"/>
      <c r="BS69" s="533"/>
      <c r="BT69" s="533"/>
      <c r="BU69" s="533"/>
      <c r="BV69" s="533"/>
      <c r="BW69" s="533"/>
      <c r="BX69" s="533"/>
      <c r="BY69" s="533"/>
      <c r="BZ69" s="533"/>
      <c r="CA69" s="533"/>
      <c r="CB69" s="533"/>
      <c r="CC69" s="533"/>
      <c r="CD69" s="533"/>
      <c r="CE69" s="533"/>
      <c r="CF69" s="534"/>
    </row>
    <row r="70" spans="3:84">
      <c r="C70" s="528"/>
      <c r="R70" s="693"/>
      <c r="S70" s="784"/>
      <c r="T70" s="785"/>
      <c r="U70" s="786"/>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3"/>
      <c r="AR70" s="796"/>
      <c r="AS70" s="797"/>
      <c r="AT70" s="797"/>
      <c r="AU70" s="792"/>
      <c r="AV70" s="792"/>
      <c r="AW70" s="792"/>
      <c r="AX70" s="792"/>
      <c r="AY70" s="792"/>
      <c r="AZ70" s="792"/>
      <c r="BA70" s="792"/>
      <c r="BB70" s="792"/>
      <c r="BC70" s="792"/>
      <c r="BD70" s="792"/>
      <c r="BE70" s="792"/>
      <c r="BF70" s="792"/>
      <c r="BG70" s="792"/>
      <c r="BH70" s="792"/>
      <c r="BI70" s="792"/>
      <c r="BJ70" s="792"/>
      <c r="BK70" s="792"/>
      <c r="BL70" s="792"/>
      <c r="BM70" s="792"/>
      <c r="BN70" s="792"/>
      <c r="BO70" s="792"/>
      <c r="BP70" s="792"/>
      <c r="BQ70" s="533"/>
      <c r="BR70" s="533"/>
      <c r="BS70" s="533"/>
      <c r="BT70" s="533"/>
      <c r="BU70" s="533"/>
      <c r="BV70" s="533"/>
      <c r="BW70" s="533"/>
      <c r="BX70" s="533"/>
      <c r="BY70" s="533"/>
      <c r="BZ70" s="533"/>
      <c r="CA70" s="533"/>
      <c r="CB70" s="533"/>
      <c r="CC70" s="533"/>
      <c r="CD70" s="533"/>
      <c r="CE70" s="533"/>
      <c r="CF70" s="534"/>
    </row>
    <row r="71" spans="3:84" ht="15" thickBot="1">
      <c r="C71" s="528"/>
      <c r="R71" s="693"/>
      <c r="S71" s="787"/>
      <c r="T71" s="788"/>
      <c r="U71" s="789"/>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5"/>
      <c r="AR71" s="796"/>
      <c r="AS71" s="797"/>
      <c r="AT71" s="797"/>
      <c r="AU71" s="792"/>
      <c r="AV71" s="792"/>
      <c r="AW71" s="792"/>
      <c r="AX71" s="792"/>
      <c r="AY71" s="792"/>
      <c r="AZ71" s="792"/>
      <c r="BA71" s="792"/>
      <c r="BB71" s="792"/>
      <c r="BC71" s="792"/>
      <c r="BD71" s="792"/>
      <c r="BE71" s="792"/>
      <c r="BF71" s="792"/>
      <c r="BG71" s="792"/>
      <c r="BH71" s="792"/>
      <c r="BI71" s="792"/>
      <c r="BJ71" s="792"/>
      <c r="BK71" s="792"/>
      <c r="BL71" s="792"/>
      <c r="BM71" s="792"/>
      <c r="BN71" s="792"/>
      <c r="BO71" s="792"/>
      <c r="BP71" s="792"/>
      <c r="BQ71" s="533"/>
      <c r="BR71" s="533"/>
      <c r="BS71" s="533"/>
      <c r="BT71" s="533"/>
      <c r="BU71" s="533"/>
      <c r="BV71" s="533"/>
      <c r="BW71" s="533"/>
      <c r="BX71" s="533"/>
      <c r="BY71" s="533"/>
      <c r="BZ71" s="533"/>
      <c r="CA71" s="533"/>
      <c r="CB71" s="533"/>
      <c r="CC71" s="533"/>
      <c r="CD71" s="533"/>
      <c r="CE71" s="533"/>
      <c r="CF71" s="534"/>
    </row>
    <row r="72" spans="3:84">
      <c r="C72" s="528"/>
      <c r="R72" s="693"/>
      <c r="S72" s="533"/>
      <c r="T72" s="533"/>
      <c r="U72" s="533"/>
      <c r="V72" s="533"/>
      <c r="W72" s="533"/>
      <c r="X72" s="533"/>
      <c r="Y72" s="533"/>
      <c r="Z72" s="533"/>
      <c r="AA72" s="533"/>
      <c r="AB72" s="533"/>
      <c r="AC72" s="533"/>
      <c r="AD72" s="533"/>
      <c r="AE72" s="533"/>
      <c r="AF72" s="533"/>
      <c r="AG72" s="533"/>
      <c r="AH72" s="533"/>
      <c r="AI72" s="533"/>
      <c r="AJ72" s="533"/>
      <c r="AK72" s="533"/>
      <c r="AL72" s="533"/>
      <c r="AM72" s="533"/>
      <c r="AN72" s="533"/>
      <c r="AO72" s="533"/>
      <c r="AP72" s="533"/>
      <c r="AQ72" s="533"/>
      <c r="AR72" s="533"/>
      <c r="AS72" s="533"/>
      <c r="AT72" s="533"/>
      <c r="AU72" s="533"/>
      <c r="AV72" s="533"/>
      <c r="AW72" s="533"/>
      <c r="AX72" s="533"/>
      <c r="AY72" s="533"/>
      <c r="AZ72" s="533"/>
      <c r="BA72" s="533"/>
      <c r="BB72" s="533"/>
      <c r="BC72" s="533"/>
      <c r="BD72" s="533"/>
      <c r="BE72" s="533"/>
      <c r="BF72" s="533"/>
      <c r="BG72" s="533"/>
      <c r="BH72" s="533"/>
      <c r="BI72" s="533"/>
      <c r="BJ72" s="533"/>
      <c r="BK72" s="533"/>
      <c r="BL72" s="533"/>
      <c r="BM72" s="533"/>
      <c r="BN72" s="533"/>
      <c r="BO72" s="533"/>
      <c r="BP72" s="533"/>
      <c r="BQ72" s="533"/>
      <c r="BR72" s="533"/>
      <c r="BS72" s="533"/>
      <c r="BT72" s="533"/>
      <c r="BU72" s="533"/>
      <c r="BV72" s="533"/>
      <c r="BW72" s="533"/>
      <c r="BX72" s="533"/>
      <c r="BY72" s="533"/>
      <c r="BZ72" s="533"/>
      <c r="CA72" s="533"/>
      <c r="CB72" s="533"/>
      <c r="CC72" s="533"/>
      <c r="CD72" s="533"/>
      <c r="CE72" s="533"/>
      <c r="CF72" s="534"/>
    </row>
    <row r="73" spans="3:84">
      <c r="C73" s="528"/>
      <c r="R73" s="693"/>
      <c r="S73" s="533"/>
      <c r="T73" s="533"/>
      <c r="U73" s="533"/>
      <c r="V73" s="533"/>
      <c r="W73" s="533"/>
      <c r="X73" s="533"/>
      <c r="Y73" s="533"/>
      <c r="Z73" s="533"/>
      <c r="AA73" s="533"/>
      <c r="AB73" s="533"/>
      <c r="AC73" s="533"/>
      <c r="AD73" s="533"/>
      <c r="AE73" s="533"/>
      <c r="AF73" s="533"/>
      <c r="AG73" s="533"/>
      <c r="AH73" s="533"/>
      <c r="AI73" s="533"/>
      <c r="AJ73" s="533"/>
      <c r="AK73" s="533"/>
      <c r="AL73" s="533"/>
      <c r="AM73" s="533"/>
      <c r="AN73" s="533"/>
      <c r="AO73" s="533"/>
      <c r="AP73" s="533"/>
      <c r="AQ73" s="533"/>
      <c r="AR73" s="533"/>
      <c r="AS73" s="533"/>
      <c r="AT73" s="533"/>
      <c r="AU73" s="533"/>
      <c r="AV73" s="533"/>
      <c r="AW73" s="533"/>
      <c r="AX73" s="533"/>
      <c r="AY73" s="533"/>
      <c r="AZ73" s="533"/>
      <c r="BA73" s="533"/>
      <c r="BB73" s="533"/>
      <c r="BC73" s="533"/>
      <c r="BD73" s="533"/>
      <c r="BE73" s="533"/>
      <c r="BF73" s="533"/>
      <c r="BG73" s="533"/>
      <c r="BH73" s="533"/>
      <c r="BI73" s="533"/>
      <c r="BJ73" s="533"/>
      <c r="BK73" s="533"/>
      <c r="BL73" s="533"/>
      <c r="BM73" s="533"/>
      <c r="BN73" s="533"/>
      <c r="BO73" s="533"/>
      <c r="BP73" s="533"/>
      <c r="BQ73" s="533"/>
      <c r="BR73" s="533"/>
      <c r="BS73" s="533"/>
      <c r="BT73" s="533"/>
      <c r="BU73" s="533"/>
      <c r="BV73" s="533"/>
      <c r="BW73" s="533"/>
      <c r="BX73" s="533"/>
      <c r="BY73" s="533"/>
      <c r="BZ73" s="533"/>
      <c r="CA73" s="533"/>
      <c r="CB73" s="533"/>
      <c r="CC73" s="533"/>
      <c r="CD73" s="533"/>
      <c r="CE73" s="533"/>
      <c r="CF73" s="534"/>
    </row>
    <row r="74" spans="3:84">
      <c r="C74" s="528"/>
      <c r="R74" s="693"/>
      <c r="S74" s="533"/>
      <c r="T74" s="533"/>
      <c r="U74" s="533"/>
      <c r="V74" s="533"/>
      <c r="W74" s="533"/>
      <c r="X74" s="533"/>
      <c r="Y74" s="533"/>
      <c r="Z74" s="533"/>
      <c r="AA74" s="533"/>
      <c r="AB74" s="533"/>
      <c r="AC74" s="533"/>
      <c r="AD74" s="533"/>
      <c r="AE74" s="533"/>
      <c r="AF74" s="533"/>
      <c r="AG74" s="533"/>
      <c r="AH74" s="533"/>
      <c r="AI74" s="533"/>
      <c r="AJ74" s="533"/>
      <c r="AK74" s="533"/>
      <c r="AL74" s="533"/>
      <c r="AM74" s="533"/>
      <c r="AN74" s="533"/>
      <c r="AO74" s="533"/>
      <c r="AP74" s="533"/>
      <c r="AQ74" s="533"/>
      <c r="AR74" s="533"/>
      <c r="AS74" s="533"/>
      <c r="AT74" s="533"/>
      <c r="AU74" s="533"/>
      <c r="AV74" s="533"/>
      <c r="AW74" s="533"/>
      <c r="AX74" s="533"/>
      <c r="AY74" s="533"/>
      <c r="AZ74" s="533"/>
      <c r="BA74" s="533"/>
      <c r="BB74" s="533"/>
      <c r="BC74" s="533"/>
      <c r="BD74" s="533"/>
      <c r="BE74" s="533"/>
      <c r="BF74" s="533"/>
      <c r="BG74" s="533"/>
      <c r="BH74" s="533"/>
      <c r="BI74" s="533"/>
      <c r="BJ74" s="533"/>
      <c r="BK74" s="533"/>
      <c r="BL74" s="533"/>
      <c r="BM74" s="533"/>
      <c r="BN74" s="533"/>
      <c r="BO74" s="533"/>
      <c r="BP74" s="533"/>
      <c r="BQ74" s="533"/>
      <c r="BR74" s="533"/>
      <c r="BS74" s="533"/>
      <c r="BT74" s="533"/>
      <c r="BU74" s="533"/>
      <c r="BV74" s="533"/>
      <c r="BW74" s="533"/>
      <c r="BX74" s="533"/>
      <c r="BY74" s="533"/>
      <c r="BZ74" s="533"/>
      <c r="CA74" s="533"/>
      <c r="CB74" s="533"/>
      <c r="CC74" s="533"/>
      <c r="CD74" s="533"/>
      <c r="CE74" s="533"/>
      <c r="CF74" s="534"/>
    </row>
    <row r="75" spans="3:84">
      <c r="C75" s="528"/>
      <c r="R75" s="69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3"/>
      <c r="AY75" s="533"/>
      <c r="AZ75" s="533"/>
      <c r="BA75" s="533"/>
      <c r="BB75" s="533"/>
      <c r="BC75" s="533"/>
      <c r="BD75" s="533"/>
      <c r="BE75" s="533"/>
      <c r="BF75" s="533"/>
      <c r="BG75" s="533"/>
      <c r="BH75" s="533"/>
      <c r="BI75" s="533"/>
      <c r="BJ75" s="533"/>
      <c r="BK75" s="533"/>
      <c r="BL75" s="533"/>
      <c r="BM75" s="533"/>
      <c r="BN75" s="533"/>
      <c r="BO75" s="533"/>
      <c r="BP75" s="533"/>
      <c r="BQ75" s="533"/>
      <c r="BR75" s="533"/>
      <c r="BS75" s="533"/>
      <c r="BT75" s="533"/>
      <c r="BU75" s="533"/>
      <c r="BV75" s="533"/>
      <c r="BW75" s="533"/>
      <c r="BX75" s="533"/>
      <c r="BY75" s="533"/>
      <c r="BZ75" s="533"/>
      <c r="CA75" s="533"/>
      <c r="CB75" s="533"/>
      <c r="CC75" s="533"/>
      <c r="CD75" s="533"/>
      <c r="CE75" s="533"/>
      <c r="CF75" s="534"/>
    </row>
    <row r="76" spans="3:84">
      <c r="C76" s="528"/>
      <c r="R76" s="69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c r="AX76" s="533"/>
      <c r="AY76" s="533"/>
      <c r="AZ76" s="533"/>
      <c r="BA76" s="533"/>
      <c r="BB76" s="533"/>
      <c r="BC76" s="533"/>
      <c r="BD76" s="533"/>
      <c r="BE76" s="533"/>
      <c r="BF76" s="533"/>
      <c r="BG76" s="533"/>
      <c r="BH76" s="533"/>
      <c r="BI76" s="533"/>
      <c r="BJ76" s="533"/>
      <c r="BK76" s="533"/>
      <c r="BL76" s="533"/>
      <c r="BM76" s="533"/>
      <c r="BN76" s="533"/>
      <c r="BO76" s="533"/>
      <c r="BP76" s="533"/>
      <c r="BQ76" s="533"/>
      <c r="BR76" s="533"/>
      <c r="BS76" s="533"/>
      <c r="BT76" s="533"/>
      <c r="BU76" s="533"/>
      <c r="BV76" s="533"/>
      <c r="BW76" s="533"/>
      <c r="BX76" s="533"/>
      <c r="BY76" s="533"/>
      <c r="BZ76" s="533"/>
      <c r="CA76" s="533"/>
      <c r="CB76" s="533"/>
      <c r="CC76" s="533"/>
      <c r="CD76" s="533"/>
      <c r="CE76" s="533"/>
      <c r="CF76" s="534"/>
    </row>
    <row r="77" spans="3:84">
      <c r="C77" s="528"/>
      <c r="R77" s="693"/>
      <c r="S77" s="533"/>
      <c r="T77" s="533"/>
      <c r="U77" s="533"/>
      <c r="V77" s="533"/>
      <c r="W77" s="533"/>
      <c r="X77" s="533"/>
      <c r="Y77" s="533"/>
      <c r="Z77" s="533"/>
      <c r="AA77" s="533"/>
      <c r="AB77" s="533"/>
      <c r="AC77" s="533"/>
      <c r="AD77" s="533"/>
      <c r="AE77" s="533"/>
      <c r="AF77" s="533"/>
      <c r="AG77" s="533"/>
      <c r="AH77" s="533"/>
      <c r="AI77" s="533"/>
      <c r="AJ77" s="533"/>
      <c r="AK77" s="533"/>
      <c r="AL77" s="533"/>
      <c r="AM77" s="533"/>
      <c r="AN77" s="533"/>
      <c r="AO77" s="533"/>
      <c r="AP77" s="533"/>
      <c r="AQ77" s="533"/>
      <c r="AR77" s="533"/>
      <c r="AS77" s="533"/>
      <c r="AT77" s="533"/>
      <c r="AU77" s="533"/>
      <c r="AV77" s="533"/>
      <c r="AW77" s="533"/>
      <c r="AX77" s="533"/>
      <c r="AY77" s="533"/>
      <c r="AZ77" s="533"/>
      <c r="BA77" s="533"/>
      <c r="BB77" s="533"/>
      <c r="BC77" s="533"/>
      <c r="BD77" s="533"/>
      <c r="BE77" s="533"/>
      <c r="BF77" s="533"/>
      <c r="BG77" s="533"/>
      <c r="BH77" s="533"/>
      <c r="BI77" s="533"/>
      <c r="BJ77" s="533"/>
      <c r="BK77" s="533"/>
      <c r="BL77" s="533"/>
      <c r="BM77" s="533"/>
      <c r="BN77" s="533"/>
      <c r="BO77" s="533"/>
      <c r="BP77" s="533"/>
      <c r="BQ77" s="533"/>
      <c r="BR77" s="533"/>
      <c r="BS77" s="533"/>
      <c r="BT77" s="533"/>
      <c r="BU77" s="533"/>
      <c r="BV77" s="533"/>
      <c r="BW77" s="533"/>
      <c r="BX77" s="533"/>
      <c r="BY77" s="533"/>
      <c r="BZ77" s="533"/>
      <c r="CA77" s="533"/>
      <c r="CB77" s="533"/>
      <c r="CC77" s="533"/>
      <c r="CD77" s="533"/>
      <c r="CE77" s="533"/>
      <c r="CF77" s="534"/>
    </row>
    <row r="78" spans="3:84">
      <c r="C78" s="528"/>
      <c r="R78" s="69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3"/>
      <c r="AY78" s="533"/>
      <c r="AZ78" s="533"/>
      <c r="BA78" s="533"/>
      <c r="BB78" s="533"/>
      <c r="BC78" s="533"/>
      <c r="BD78" s="533"/>
      <c r="BE78" s="533"/>
      <c r="BF78" s="533"/>
      <c r="BG78" s="533"/>
      <c r="BH78" s="533"/>
      <c r="BI78" s="533"/>
      <c r="BJ78" s="533"/>
      <c r="BK78" s="533"/>
      <c r="BL78" s="533"/>
      <c r="BM78" s="533"/>
      <c r="BN78" s="533"/>
      <c r="BO78" s="533"/>
      <c r="BP78" s="533"/>
      <c r="BQ78" s="533"/>
      <c r="BR78" s="533"/>
      <c r="BS78" s="533"/>
      <c r="BT78" s="533"/>
      <c r="BU78" s="533"/>
      <c r="BV78" s="533"/>
      <c r="BW78" s="533"/>
      <c r="BX78" s="533"/>
      <c r="BY78" s="533"/>
      <c r="BZ78" s="533"/>
      <c r="CA78" s="533"/>
      <c r="CB78" s="533"/>
      <c r="CC78" s="533"/>
      <c r="CD78" s="533"/>
      <c r="CE78" s="533"/>
      <c r="CF78" s="534"/>
    </row>
    <row r="79" spans="3:84">
      <c r="C79" s="528"/>
      <c r="R79" s="69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533"/>
      <c r="AP79" s="533"/>
      <c r="AQ79" s="533"/>
      <c r="AR79" s="533"/>
      <c r="AS79" s="533"/>
      <c r="AT79" s="533"/>
      <c r="AU79" s="533"/>
      <c r="AV79" s="533"/>
      <c r="AW79" s="533"/>
      <c r="AX79" s="533"/>
      <c r="AY79" s="533"/>
      <c r="AZ79" s="533"/>
      <c r="BA79" s="533"/>
      <c r="BB79" s="533"/>
      <c r="BC79" s="533"/>
      <c r="BD79" s="533"/>
      <c r="BE79" s="533"/>
      <c r="BF79" s="533"/>
      <c r="BG79" s="533"/>
      <c r="BH79" s="533"/>
      <c r="BI79" s="533"/>
      <c r="BJ79" s="533"/>
      <c r="BK79" s="533"/>
      <c r="BL79" s="533"/>
      <c r="BM79" s="533"/>
      <c r="BN79" s="533"/>
      <c r="BO79" s="533"/>
      <c r="BP79" s="533"/>
      <c r="BQ79" s="533"/>
      <c r="BR79" s="533"/>
      <c r="BS79" s="533"/>
      <c r="BT79" s="533"/>
      <c r="BU79" s="533"/>
      <c r="BV79" s="533"/>
      <c r="BW79" s="533"/>
      <c r="BX79" s="533"/>
      <c r="BY79" s="533"/>
      <c r="BZ79" s="533"/>
      <c r="CA79" s="533"/>
      <c r="CB79" s="533"/>
      <c r="CC79" s="533"/>
      <c r="CD79" s="533"/>
      <c r="CE79" s="533"/>
      <c r="CF79" s="534"/>
    </row>
    <row r="80" spans="3:84">
      <c r="C80" s="528"/>
      <c r="R80" s="693"/>
      <c r="S80" s="533"/>
      <c r="T80" s="533"/>
      <c r="U80" s="533"/>
      <c r="V80" s="533"/>
      <c r="W80" s="533"/>
      <c r="X80" s="533"/>
      <c r="Y80" s="533"/>
      <c r="Z80" s="533"/>
      <c r="AA80" s="533"/>
      <c r="AB80" s="533"/>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33"/>
      <c r="AY80" s="533"/>
      <c r="AZ80" s="533"/>
      <c r="BA80" s="533"/>
      <c r="BB80" s="533"/>
      <c r="BC80" s="533"/>
      <c r="BD80" s="533"/>
      <c r="BE80" s="533"/>
      <c r="BF80" s="533"/>
      <c r="BG80" s="533"/>
      <c r="BH80" s="533"/>
      <c r="BI80" s="533"/>
      <c r="BJ80" s="533"/>
      <c r="BK80" s="533"/>
      <c r="BL80" s="533"/>
      <c r="BM80" s="533"/>
      <c r="BN80" s="533"/>
      <c r="BO80" s="533"/>
      <c r="BP80" s="533"/>
      <c r="BQ80" s="533"/>
      <c r="BR80" s="533"/>
      <c r="BS80" s="533"/>
      <c r="BT80" s="533"/>
      <c r="BU80" s="533"/>
      <c r="BV80" s="533"/>
      <c r="BW80" s="533"/>
      <c r="BX80" s="533"/>
      <c r="BY80" s="533"/>
      <c r="BZ80" s="533"/>
      <c r="CA80" s="533"/>
      <c r="CB80" s="533"/>
      <c r="CC80" s="533"/>
      <c r="CD80" s="533"/>
      <c r="CE80" s="533"/>
      <c r="CF80" s="534"/>
    </row>
    <row r="81" spans="3:84">
      <c r="C81" s="528"/>
      <c r="R81" s="693"/>
      <c r="S81" s="533"/>
      <c r="T81" s="533"/>
      <c r="U81" s="533"/>
      <c r="V81" s="533"/>
      <c r="W81" s="533"/>
      <c r="X81" s="533"/>
      <c r="Y81" s="533"/>
      <c r="Z81" s="533"/>
      <c r="AA81" s="533"/>
      <c r="AB81" s="533"/>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33"/>
      <c r="AY81" s="533"/>
      <c r="AZ81" s="533"/>
      <c r="BA81" s="533"/>
      <c r="BB81" s="533"/>
      <c r="BC81" s="533"/>
      <c r="BD81" s="533"/>
      <c r="BE81" s="533"/>
      <c r="BF81" s="533"/>
      <c r="BG81" s="533"/>
      <c r="BH81" s="533"/>
      <c r="BI81" s="533"/>
      <c r="BJ81" s="533"/>
      <c r="BK81" s="533"/>
      <c r="BL81" s="533"/>
      <c r="BM81" s="533"/>
      <c r="BN81" s="533"/>
      <c r="BO81" s="533"/>
      <c r="BP81" s="533"/>
      <c r="BQ81" s="533"/>
      <c r="BR81" s="533"/>
      <c r="BS81" s="533"/>
      <c r="BT81" s="533"/>
      <c r="BU81" s="533"/>
      <c r="BV81" s="533"/>
      <c r="BW81" s="533"/>
      <c r="BX81" s="533"/>
      <c r="BY81" s="533"/>
      <c r="BZ81" s="533"/>
      <c r="CA81" s="533"/>
      <c r="CB81" s="533"/>
      <c r="CC81" s="533"/>
      <c r="CD81" s="533"/>
      <c r="CE81" s="533"/>
      <c r="CF81" s="534"/>
    </row>
    <row r="82" spans="3:84">
      <c r="C82" s="528"/>
      <c r="R82" s="69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3"/>
      <c r="BI82" s="533"/>
      <c r="BJ82" s="533"/>
      <c r="BK82" s="533"/>
      <c r="BL82" s="533"/>
      <c r="BM82" s="533"/>
      <c r="BN82" s="533"/>
      <c r="BO82" s="533"/>
      <c r="BP82" s="533"/>
      <c r="BQ82" s="533"/>
      <c r="BR82" s="533"/>
      <c r="BS82" s="533"/>
      <c r="BT82" s="533"/>
      <c r="BU82" s="533"/>
      <c r="BV82" s="533"/>
      <c r="BW82" s="533"/>
      <c r="BX82" s="533"/>
      <c r="BY82" s="533"/>
      <c r="BZ82" s="533"/>
      <c r="CA82" s="533"/>
      <c r="CB82" s="533"/>
      <c r="CC82" s="533"/>
      <c r="CD82" s="533"/>
      <c r="CE82" s="533"/>
      <c r="CF82" s="534"/>
    </row>
    <row r="83" spans="3:84">
      <c r="C83" s="528"/>
      <c r="R83" s="69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3"/>
      <c r="AY83" s="533"/>
      <c r="AZ83" s="533"/>
      <c r="BA83" s="533"/>
      <c r="BB83" s="533"/>
      <c r="BC83" s="533"/>
      <c r="BD83" s="533"/>
      <c r="BE83" s="533"/>
      <c r="BF83" s="533"/>
      <c r="BG83" s="533"/>
      <c r="BH83" s="533"/>
      <c r="BI83" s="533"/>
      <c r="BJ83" s="533"/>
      <c r="BK83" s="533"/>
      <c r="BL83" s="533"/>
      <c r="BM83" s="533"/>
      <c r="BN83" s="533"/>
      <c r="BO83" s="533"/>
      <c r="BP83" s="533"/>
      <c r="BQ83" s="533"/>
      <c r="BR83" s="533"/>
      <c r="BS83" s="533"/>
      <c r="BT83" s="533"/>
      <c r="BU83" s="533"/>
      <c r="BV83" s="533"/>
      <c r="BW83" s="533"/>
      <c r="BX83" s="533"/>
      <c r="BY83" s="533"/>
      <c r="BZ83" s="533"/>
      <c r="CA83" s="533"/>
      <c r="CB83" s="533"/>
      <c r="CC83" s="533"/>
      <c r="CD83" s="533"/>
      <c r="CE83" s="533"/>
      <c r="CF83" s="534"/>
    </row>
    <row r="84" spans="3:84">
      <c r="C84" s="528"/>
      <c r="R84" s="693"/>
      <c r="S84" s="533"/>
      <c r="T84" s="533"/>
      <c r="U84" s="533"/>
      <c r="V84" s="533"/>
      <c r="W84" s="533"/>
      <c r="X84" s="533"/>
      <c r="Y84" s="533"/>
      <c r="Z84" s="533"/>
      <c r="AA84" s="533"/>
      <c r="AB84" s="533"/>
      <c r="AC84" s="533"/>
      <c r="AD84" s="533"/>
      <c r="AE84" s="533"/>
      <c r="AF84" s="533"/>
      <c r="AG84" s="533"/>
      <c r="AH84" s="533"/>
      <c r="AI84" s="533"/>
      <c r="AJ84" s="533"/>
      <c r="AK84" s="533"/>
      <c r="AL84" s="533"/>
      <c r="AM84" s="533"/>
      <c r="AN84" s="533"/>
      <c r="AO84" s="533"/>
      <c r="AP84" s="533"/>
      <c r="AQ84" s="533"/>
      <c r="AR84" s="533"/>
      <c r="AS84" s="533"/>
      <c r="AT84" s="533"/>
      <c r="AU84" s="533"/>
      <c r="AV84" s="533"/>
      <c r="AW84" s="533"/>
      <c r="AX84" s="533"/>
      <c r="AY84" s="533"/>
      <c r="AZ84" s="533"/>
      <c r="BA84" s="533"/>
      <c r="BB84" s="533"/>
      <c r="BC84" s="533"/>
      <c r="BD84" s="533"/>
      <c r="BE84" s="533"/>
      <c r="BF84" s="533"/>
      <c r="BG84" s="533"/>
      <c r="BH84" s="533"/>
      <c r="BI84" s="533"/>
      <c r="BJ84" s="533"/>
      <c r="BK84" s="533"/>
      <c r="BL84" s="533"/>
      <c r="BM84" s="533"/>
      <c r="BN84" s="533"/>
      <c r="BO84" s="533"/>
      <c r="BP84" s="533"/>
      <c r="BQ84" s="533"/>
      <c r="BR84" s="533"/>
      <c r="BS84" s="533"/>
      <c r="BT84" s="533"/>
      <c r="BU84" s="533"/>
      <c r="BV84" s="533"/>
      <c r="BW84" s="533"/>
      <c r="BX84" s="533"/>
      <c r="BY84" s="533"/>
      <c r="BZ84" s="533"/>
      <c r="CA84" s="533"/>
      <c r="CB84" s="533"/>
      <c r="CC84" s="533"/>
      <c r="CD84" s="533"/>
      <c r="CE84" s="533"/>
      <c r="CF84" s="534"/>
    </row>
    <row r="85" spans="3:84">
      <c r="C85" s="528"/>
      <c r="R85" s="693"/>
      <c r="S85" s="533"/>
      <c r="T85" s="533"/>
      <c r="U85" s="533"/>
      <c r="V85" s="533"/>
      <c r="W85" s="533"/>
      <c r="X85" s="533"/>
      <c r="Y85" s="533"/>
      <c r="Z85" s="533"/>
      <c r="AA85" s="533"/>
      <c r="AB85" s="533"/>
      <c r="AC85" s="533"/>
      <c r="AD85" s="533"/>
      <c r="AE85" s="533"/>
      <c r="AF85" s="533"/>
      <c r="AG85" s="533"/>
      <c r="AH85" s="533"/>
      <c r="AI85" s="533"/>
      <c r="AJ85" s="533"/>
      <c r="AK85" s="533"/>
      <c r="AL85" s="533"/>
      <c r="AM85" s="533"/>
      <c r="AN85" s="533"/>
      <c r="AO85" s="533"/>
      <c r="AP85" s="533"/>
      <c r="AQ85" s="533"/>
      <c r="AR85" s="533"/>
      <c r="AS85" s="533"/>
      <c r="AT85" s="533"/>
      <c r="AU85" s="533"/>
      <c r="AV85" s="533"/>
      <c r="AW85" s="533"/>
      <c r="AX85" s="533"/>
      <c r="AY85" s="533"/>
      <c r="AZ85" s="533"/>
      <c r="BA85" s="533"/>
      <c r="BB85" s="533"/>
      <c r="BC85" s="533"/>
      <c r="BD85" s="533"/>
      <c r="BE85" s="533"/>
      <c r="BF85" s="533"/>
      <c r="BG85" s="533"/>
      <c r="BH85" s="533"/>
      <c r="BI85" s="533"/>
      <c r="BJ85" s="533"/>
      <c r="BK85" s="533"/>
      <c r="BL85" s="533"/>
      <c r="BM85" s="533"/>
      <c r="BN85" s="533"/>
      <c r="BO85" s="533"/>
      <c r="BP85" s="533"/>
      <c r="BQ85" s="533"/>
      <c r="BR85" s="533"/>
      <c r="BS85" s="533"/>
      <c r="BT85" s="533"/>
      <c r="BU85" s="533"/>
      <c r="BV85" s="533"/>
      <c r="BW85" s="533"/>
      <c r="BX85" s="533"/>
      <c r="BY85" s="533"/>
      <c r="BZ85" s="533"/>
      <c r="CA85" s="533"/>
      <c r="CB85" s="533"/>
      <c r="CC85" s="533"/>
      <c r="CD85" s="533"/>
      <c r="CE85" s="533"/>
      <c r="CF85" s="534"/>
    </row>
    <row r="86" spans="3:84">
      <c r="C86" s="528"/>
      <c r="R86" s="693"/>
      <c r="S86" s="533"/>
      <c r="T86" s="533"/>
      <c r="U86" s="533"/>
      <c r="V86" s="533"/>
      <c r="W86" s="533"/>
      <c r="X86" s="533"/>
      <c r="Y86" s="533"/>
      <c r="Z86" s="533"/>
      <c r="AA86" s="533"/>
      <c r="AB86" s="533"/>
      <c r="AC86" s="533"/>
      <c r="AD86" s="533"/>
      <c r="AE86" s="533"/>
      <c r="AF86" s="533"/>
      <c r="AG86" s="533"/>
      <c r="AH86" s="533"/>
      <c r="AI86" s="533"/>
      <c r="AJ86" s="533"/>
      <c r="AK86" s="533"/>
      <c r="AL86" s="533"/>
      <c r="AM86" s="533"/>
      <c r="AN86" s="533"/>
      <c r="AO86" s="533"/>
      <c r="AP86" s="533"/>
      <c r="AQ86" s="533"/>
      <c r="AR86" s="533"/>
      <c r="AS86" s="533"/>
      <c r="AT86" s="533"/>
      <c r="AU86" s="533"/>
      <c r="AV86" s="533"/>
      <c r="AW86" s="533"/>
      <c r="AX86" s="533"/>
      <c r="AY86" s="533"/>
      <c r="AZ86" s="533"/>
      <c r="BA86" s="533"/>
      <c r="BB86" s="533"/>
      <c r="BC86" s="533"/>
      <c r="BD86" s="533"/>
      <c r="BE86" s="533"/>
      <c r="BF86" s="533"/>
      <c r="BG86" s="533"/>
      <c r="BH86" s="533"/>
      <c r="BI86" s="533"/>
      <c r="BJ86" s="533"/>
      <c r="BK86" s="533"/>
      <c r="BL86" s="533"/>
      <c r="BM86" s="533"/>
      <c r="BN86" s="533"/>
      <c r="BO86" s="533"/>
      <c r="BP86" s="533"/>
      <c r="BQ86" s="533"/>
      <c r="BR86" s="533"/>
      <c r="BS86" s="533"/>
      <c r="BT86" s="533"/>
      <c r="BU86" s="533"/>
      <c r="BV86" s="533"/>
      <c r="BW86" s="533"/>
      <c r="BX86" s="533"/>
      <c r="BY86" s="533"/>
      <c r="BZ86" s="533"/>
      <c r="CA86" s="533"/>
      <c r="CB86" s="533"/>
      <c r="CC86" s="533"/>
      <c r="CD86" s="533"/>
      <c r="CE86" s="533"/>
      <c r="CF86" s="534"/>
    </row>
    <row r="87" spans="3:84">
      <c r="C87" s="528"/>
      <c r="R87" s="693"/>
      <c r="S87" s="533"/>
      <c r="T87" s="533"/>
      <c r="U87" s="533"/>
      <c r="V87" s="533"/>
      <c r="W87" s="533"/>
      <c r="X87" s="533"/>
      <c r="Y87" s="533"/>
      <c r="Z87" s="533"/>
      <c r="AA87" s="533"/>
      <c r="AB87" s="533"/>
      <c r="AC87" s="533"/>
      <c r="AD87" s="533"/>
      <c r="AE87" s="533"/>
      <c r="AF87" s="533"/>
      <c r="AG87" s="533"/>
      <c r="AH87" s="533"/>
      <c r="AI87" s="533"/>
      <c r="AJ87" s="533"/>
      <c r="AK87" s="533"/>
      <c r="AL87" s="533"/>
      <c r="AM87" s="533"/>
      <c r="AN87" s="533"/>
      <c r="AO87" s="533"/>
      <c r="AP87" s="533"/>
      <c r="AQ87" s="533"/>
      <c r="AR87" s="533"/>
      <c r="AS87" s="533"/>
      <c r="AT87" s="533"/>
      <c r="AU87" s="533"/>
      <c r="AV87" s="533"/>
      <c r="AW87" s="533"/>
      <c r="AX87" s="533"/>
      <c r="AY87" s="533"/>
      <c r="AZ87" s="533"/>
      <c r="BA87" s="533"/>
      <c r="BB87" s="533"/>
      <c r="BC87" s="533"/>
      <c r="BD87" s="533"/>
      <c r="BE87" s="533"/>
      <c r="BF87" s="533"/>
      <c r="BG87" s="533"/>
      <c r="BH87" s="533"/>
      <c r="BI87" s="533"/>
      <c r="BJ87" s="533"/>
      <c r="BK87" s="533"/>
      <c r="BL87" s="533"/>
      <c r="BM87" s="533"/>
      <c r="BN87" s="533"/>
      <c r="BO87" s="533"/>
      <c r="BP87" s="533"/>
      <c r="BQ87" s="533"/>
      <c r="BR87" s="533"/>
      <c r="BS87" s="533"/>
      <c r="BT87" s="533"/>
      <c r="BU87" s="533"/>
      <c r="BV87" s="533"/>
      <c r="BW87" s="533"/>
      <c r="BX87" s="533"/>
      <c r="BY87" s="533"/>
      <c r="BZ87" s="533"/>
      <c r="CA87" s="533"/>
      <c r="CB87" s="533"/>
      <c r="CC87" s="533"/>
      <c r="CD87" s="533"/>
      <c r="CE87" s="533"/>
      <c r="CF87" s="534"/>
    </row>
    <row r="88" spans="3:84">
      <c r="C88" s="528"/>
      <c r="R88" s="693"/>
      <c r="S88" s="533"/>
      <c r="T88" s="533"/>
      <c r="U88" s="533"/>
      <c r="V88" s="533"/>
      <c r="W88" s="533"/>
      <c r="X88" s="533"/>
      <c r="Y88" s="533"/>
      <c r="Z88" s="533"/>
      <c r="AA88" s="533"/>
      <c r="AB88" s="533"/>
      <c r="AC88" s="533"/>
      <c r="AD88" s="533"/>
      <c r="AE88" s="533"/>
      <c r="AF88" s="533"/>
      <c r="AG88" s="533"/>
      <c r="AH88" s="533"/>
      <c r="AI88" s="533"/>
      <c r="AJ88" s="533"/>
      <c r="AK88" s="533"/>
      <c r="AL88" s="533"/>
      <c r="AM88" s="533"/>
      <c r="AN88" s="533"/>
      <c r="AO88" s="533"/>
      <c r="AP88" s="533"/>
      <c r="AQ88" s="533"/>
      <c r="AR88" s="533"/>
      <c r="AS88" s="533"/>
      <c r="AT88" s="533"/>
      <c r="AU88" s="533"/>
      <c r="AV88" s="533"/>
      <c r="AW88" s="533"/>
      <c r="AX88" s="533"/>
      <c r="AY88" s="533"/>
      <c r="AZ88" s="533"/>
      <c r="BA88" s="533"/>
      <c r="BB88" s="533"/>
      <c r="BC88" s="533"/>
      <c r="BD88" s="533"/>
      <c r="BE88" s="533"/>
      <c r="BF88" s="533"/>
      <c r="BG88" s="533"/>
      <c r="BH88" s="533"/>
      <c r="BI88" s="533"/>
      <c r="BJ88" s="533"/>
      <c r="BK88" s="533"/>
      <c r="BL88" s="533"/>
      <c r="BM88" s="533"/>
      <c r="BN88" s="533"/>
      <c r="BO88" s="533"/>
      <c r="BP88" s="533"/>
      <c r="BQ88" s="533"/>
      <c r="BR88" s="533"/>
      <c r="BS88" s="533"/>
      <c r="BT88" s="533"/>
      <c r="BU88" s="533"/>
      <c r="BV88" s="533"/>
      <c r="BW88" s="533"/>
      <c r="BX88" s="533"/>
      <c r="BY88" s="533"/>
      <c r="BZ88" s="533"/>
      <c r="CA88" s="533"/>
      <c r="CB88" s="533"/>
      <c r="CC88" s="533"/>
      <c r="CD88" s="533"/>
      <c r="CE88" s="533"/>
      <c r="CF88" s="534"/>
    </row>
    <row r="89" spans="3:84">
      <c r="C89" s="528"/>
      <c r="R89" s="693"/>
      <c r="S89" s="533"/>
      <c r="T89" s="533"/>
      <c r="U89" s="533"/>
      <c r="V89" s="533"/>
      <c r="W89" s="533"/>
      <c r="X89" s="533"/>
      <c r="Y89" s="533"/>
      <c r="Z89" s="533"/>
      <c r="AA89" s="533"/>
      <c r="AB89" s="533"/>
      <c r="AC89" s="533"/>
      <c r="AD89" s="533"/>
      <c r="AE89" s="533"/>
      <c r="AF89" s="533"/>
      <c r="AG89" s="533"/>
      <c r="AH89" s="533"/>
      <c r="AI89" s="533"/>
      <c r="AJ89" s="533"/>
      <c r="AK89" s="533"/>
      <c r="AL89" s="533"/>
      <c r="AM89" s="533"/>
      <c r="AN89" s="533"/>
      <c r="AO89" s="533"/>
      <c r="AP89" s="533"/>
      <c r="AQ89" s="533"/>
      <c r="AR89" s="533"/>
      <c r="AS89" s="533"/>
      <c r="AT89" s="533"/>
      <c r="AU89" s="533"/>
      <c r="AV89" s="533"/>
      <c r="AW89" s="533"/>
      <c r="AX89" s="533"/>
      <c r="AY89" s="533"/>
      <c r="AZ89" s="533"/>
      <c r="BA89" s="533"/>
      <c r="BB89" s="533"/>
      <c r="BC89" s="533"/>
      <c r="BD89" s="533"/>
      <c r="BE89" s="533"/>
      <c r="BF89" s="533"/>
      <c r="BG89" s="533"/>
      <c r="BH89" s="533"/>
      <c r="BI89" s="533"/>
      <c r="BJ89" s="533"/>
      <c r="BK89" s="533"/>
      <c r="BL89" s="533"/>
      <c r="BM89" s="533"/>
      <c r="BN89" s="533"/>
      <c r="BO89" s="533"/>
      <c r="BP89" s="533"/>
      <c r="BQ89" s="533"/>
      <c r="BR89" s="533"/>
      <c r="BS89" s="533"/>
      <c r="BT89" s="533"/>
      <c r="BU89" s="533"/>
      <c r="BV89" s="533"/>
      <c r="BW89" s="533"/>
      <c r="BX89" s="533"/>
      <c r="BY89" s="533"/>
      <c r="BZ89" s="533"/>
      <c r="CA89" s="533"/>
      <c r="CB89" s="533"/>
      <c r="CC89" s="533"/>
      <c r="CD89" s="533"/>
      <c r="CE89" s="533"/>
      <c r="CF89" s="534"/>
    </row>
    <row r="90" spans="3:84">
      <c r="C90" s="528"/>
      <c r="R90" s="693"/>
      <c r="S90" s="533"/>
      <c r="T90" s="533"/>
      <c r="U90" s="533"/>
      <c r="V90" s="533"/>
      <c r="W90" s="533"/>
      <c r="X90" s="533"/>
      <c r="Y90" s="533"/>
      <c r="Z90" s="533"/>
      <c r="AA90" s="533"/>
      <c r="AB90" s="533"/>
      <c r="AC90" s="533"/>
      <c r="AD90" s="533"/>
      <c r="AE90" s="533"/>
      <c r="AF90" s="533"/>
      <c r="AG90" s="533"/>
      <c r="AH90" s="533"/>
      <c r="AI90" s="533"/>
      <c r="AJ90" s="533"/>
      <c r="AK90" s="533"/>
      <c r="AL90" s="533"/>
      <c r="AM90" s="533"/>
      <c r="AN90" s="533"/>
      <c r="AO90" s="533"/>
      <c r="AP90" s="533"/>
      <c r="AQ90" s="533"/>
      <c r="AR90" s="533"/>
      <c r="AS90" s="533"/>
      <c r="AT90" s="533"/>
      <c r="AU90" s="533"/>
      <c r="AV90" s="533"/>
      <c r="AW90" s="533"/>
      <c r="AX90" s="533"/>
      <c r="AY90" s="533"/>
      <c r="AZ90" s="533"/>
      <c r="BA90" s="533"/>
      <c r="BB90" s="533"/>
      <c r="BC90" s="533"/>
      <c r="BD90" s="533"/>
      <c r="BE90" s="533"/>
      <c r="BF90" s="533"/>
      <c r="BG90" s="533"/>
      <c r="BH90" s="533"/>
      <c r="BI90" s="533"/>
      <c r="BJ90" s="533"/>
      <c r="BK90" s="533"/>
      <c r="BL90" s="533"/>
      <c r="BM90" s="533"/>
      <c r="BN90" s="533"/>
      <c r="BO90" s="533"/>
      <c r="BP90" s="533"/>
      <c r="BQ90" s="533"/>
      <c r="BR90" s="533"/>
      <c r="BS90" s="533"/>
      <c r="BT90" s="533"/>
      <c r="BU90" s="533"/>
      <c r="BV90" s="533"/>
      <c r="BW90" s="533"/>
      <c r="BX90" s="533"/>
      <c r="BY90" s="533"/>
      <c r="BZ90" s="533"/>
      <c r="CA90" s="533"/>
      <c r="CB90" s="533"/>
      <c r="CC90" s="533"/>
      <c r="CD90" s="533"/>
      <c r="CE90" s="533"/>
      <c r="CF90" s="534"/>
    </row>
    <row r="91" spans="3:84">
      <c r="C91" s="528"/>
      <c r="R91" s="693"/>
      <c r="S91" s="533"/>
      <c r="T91" s="533"/>
      <c r="U91" s="533"/>
      <c r="V91" s="533"/>
      <c r="W91" s="533"/>
      <c r="X91" s="533"/>
      <c r="Y91" s="533"/>
      <c r="Z91" s="533"/>
      <c r="AA91" s="533"/>
      <c r="AB91" s="533"/>
      <c r="AC91" s="533"/>
      <c r="AD91" s="533"/>
      <c r="AE91" s="533"/>
      <c r="AF91" s="533"/>
      <c r="AG91" s="533"/>
      <c r="AH91" s="533"/>
      <c r="AI91" s="533"/>
      <c r="AJ91" s="533"/>
      <c r="AK91" s="533"/>
      <c r="AL91" s="533"/>
      <c r="AM91" s="533"/>
      <c r="AN91" s="533"/>
      <c r="AO91" s="533"/>
      <c r="AP91" s="533"/>
      <c r="AQ91" s="533"/>
      <c r="AR91" s="533"/>
      <c r="AS91" s="533"/>
      <c r="AT91" s="533"/>
      <c r="AU91" s="533"/>
      <c r="AV91" s="533"/>
      <c r="AW91" s="533"/>
      <c r="AX91" s="533"/>
      <c r="AY91" s="533"/>
      <c r="AZ91" s="533"/>
      <c r="BA91" s="533"/>
      <c r="BB91" s="533"/>
      <c r="BC91" s="533"/>
      <c r="BD91" s="533"/>
      <c r="BE91" s="533"/>
      <c r="BF91" s="533"/>
      <c r="BG91" s="533"/>
      <c r="BH91" s="533"/>
      <c r="BI91" s="533"/>
      <c r="BJ91" s="533"/>
      <c r="BK91" s="533"/>
      <c r="BL91" s="533"/>
      <c r="BM91" s="533"/>
      <c r="BN91" s="533"/>
      <c r="BO91" s="533"/>
      <c r="BP91" s="533"/>
      <c r="BQ91" s="533"/>
      <c r="BR91" s="533"/>
      <c r="BS91" s="533"/>
      <c r="BT91" s="533"/>
      <c r="BU91" s="533"/>
      <c r="BV91" s="533"/>
      <c r="BW91" s="533"/>
      <c r="BX91" s="533"/>
      <c r="BY91" s="533"/>
      <c r="BZ91" s="533"/>
      <c r="CA91" s="533"/>
      <c r="CB91" s="533"/>
      <c r="CC91" s="533"/>
      <c r="CD91" s="533"/>
      <c r="CE91" s="533"/>
      <c r="CF91" s="534"/>
    </row>
    <row r="92" spans="3:84">
      <c r="C92" s="528"/>
      <c r="R92" s="69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3"/>
      <c r="BJ92" s="533"/>
      <c r="BK92" s="533"/>
      <c r="BL92" s="533"/>
      <c r="BM92" s="533"/>
      <c r="BN92" s="533"/>
      <c r="BO92" s="533"/>
      <c r="BP92" s="533"/>
      <c r="BQ92" s="533"/>
      <c r="BR92" s="533"/>
      <c r="BS92" s="533"/>
      <c r="BT92" s="533"/>
      <c r="BU92" s="533"/>
      <c r="BV92" s="533"/>
      <c r="BW92" s="533"/>
      <c r="BX92" s="533"/>
      <c r="BY92" s="533"/>
      <c r="BZ92" s="533"/>
      <c r="CA92" s="533"/>
      <c r="CB92" s="533"/>
      <c r="CC92" s="533"/>
      <c r="CD92" s="533"/>
      <c r="CE92" s="533"/>
      <c r="CF92" s="534"/>
    </row>
    <row r="93" spans="3:84">
      <c r="C93" s="528"/>
      <c r="R93" s="562"/>
      <c r="S93" s="533"/>
      <c r="T93" s="533"/>
      <c r="U93" s="533"/>
      <c r="V93" s="533"/>
      <c r="W93" s="533"/>
      <c r="X93" s="533"/>
      <c r="Y93" s="533"/>
      <c r="Z93" s="533"/>
      <c r="AA93" s="533"/>
      <c r="AB93" s="533"/>
      <c r="AC93" s="533"/>
      <c r="AD93" s="533"/>
      <c r="AE93" s="533"/>
      <c r="AF93" s="533"/>
      <c r="AG93" s="533"/>
      <c r="AH93" s="533"/>
      <c r="AI93" s="533"/>
      <c r="AJ93" s="533"/>
      <c r="AK93" s="533"/>
      <c r="AL93" s="533"/>
      <c r="AM93" s="533"/>
      <c r="AN93" s="533"/>
      <c r="AO93" s="533"/>
      <c r="AP93" s="533"/>
      <c r="AQ93" s="533"/>
      <c r="AR93" s="533"/>
      <c r="AS93" s="533"/>
      <c r="AT93" s="533"/>
      <c r="AU93" s="533"/>
      <c r="AV93" s="533"/>
      <c r="AW93" s="533"/>
      <c r="AX93" s="533"/>
      <c r="AY93" s="533"/>
      <c r="AZ93" s="533"/>
      <c r="BA93" s="533"/>
      <c r="BB93" s="533"/>
      <c r="BC93" s="533"/>
      <c r="BD93" s="533"/>
      <c r="BE93" s="533"/>
      <c r="BF93" s="533"/>
      <c r="BG93" s="533"/>
      <c r="BH93" s="533"/>
      <c r="BI93" s="533"/>
      <c r="BJ93" s="533"/>
      <c r="BK93" s="533"/>
      <c r="BL93" s="533"/>
      <c r="BM93" s="533"/>
      <c r="BN93" s="533"/>
      <c r="BO93" s="533"/>
      <c r="BP93" s="533"/>
      <c r="BQ93" s="533"/>
      <c r="BR93" s="533"/>
      <c r="BS93" s="533"/>
      <c r="BT93" s="533"/>
      <c r="BU93" s="533"/>
      <c r="BV93" s="533"/>
      <c r="BW93" s="533"/>
      <c r="BX93" s="533"/>
      <c r="BY93" s="533"/>
      <c r="BZ93" s="533"/>
      <c r="CA93" s="533"/>
      <c r="CB93" s="533"/>
      <c r="CC93" s="533"/>
      <c r="CD93" s="533"/>
      <c r="CE93" s="533"/>
      <c r="CF93" s="534"/>
    </row>
    <row r="94" spans="3:84">
      <c r="C94" s="528"/>
      <c r="R94" s="562"/>
      <c r="S94" s="533"/>
      <c r="T94" s="533"/>
      <c r="U94" s="533"/>
      <c r="V94" s="533"/>
      <c r="W94" s="533"/>
      <c r="X94" s="533"/>
      <c r="Y94" s="533"/>
      <c r="Z94" s="533"/>
      <c r="AA94" s="533"/>
      <c r="AB94" s="533"/>
      <c r="AC94" s="533"/>
      <c r="AD94" s="533"/>
      <c r="AE94" s="533"/>
      <c r="AF94" s="533"/>
      <c r="AG94" s="533"/>
      <c r="AH94" s="533"/>
      <c r="AI94" s="533"/>
      <c r="AJ94" s="533"/>
      <c r="AK94" s="533"/>
      <c r="AL94" s="533"/>
      <c r="AM94" s="533"/>
      <c r="AN94" s="533"/>
      <c r="AO94" s="533"/>
      <c r="AP94" s="533"/>
      <c r="AQ94" s="533"/>
      <c r="AR94" s="533"/>
      <c r="AS94" s="533"/>
      <c r="AT94" s="533"/>
      <c r="AU94" s="533"/>
      <c r="AV94" s="533"/>
      <c r="AW94" s="533"/>
      <c r="AX94" s="533"/>
      <c r="AY94" s="533"/>
      <c r="AZ94" s="533"/>
      <c r="BA94" s="533"/>
      <c r="BB94" s="533"/>
      <c r="BC94" s="533"/>
      <c r="BD94" s="533"/>
      <c r="BE94" s="533"/>
      <c r="BF94" s="533"/>
      <c r="BG94" s="533"/>
      <c r="BH94" s="533"/>
      <c r="BI94" s="533"/>
      <c r="BJ94" s="533"/>
      <c r="BK94" s="533"/>
      <c r="BL94" s="533"/>
      <c r="BM94" s="533"/>
      <c r="BN94" s="533"/>
      <c r="BO94" s="533"/>
      <c r="BP94" s="533"/>
      <c r="BQ94" s="533"/>
      <c r="BR94" s="533"/>
      <c r="BS94" s="533"/>
      <c r="BT94" s="533"/>
      <c r="BU94" s="533"/>
      <c r="BV94" s="533"/>
      <c r="BW94" s="533"/>
      <c r="BX94" s="533"/>
      <c r="BY94" s="533"/>
      <c r="BZ94" s="533"/>
      <c r="CA94" s="533"/>
      <c r="CB94" s="533"/>
      <c r="CC94" s="533"/>
      <c r="CD94" s="533"/>
      <c r="CE94" s="533"/>
      <c r="CF94" s="534"/>
    </row>
    <row r="95" spans="3:84">
      <c r="C95" s="528"/>
      <c r="R95" s="562"/>
      <c r="S95" s="533"/>
      <c r="T95" s="533"/>
      <c r="U95" s="533"/>
      <c r="V95" s="533"/>
      <c r="W95" s="533"/>
      <c r="X95" s="533"/>
      <c r="Y95" s="533"/>
      <c r="Z95" s="533"/>
      <c r="AA95" s="533"/>
      <c r="AB95" s="533"/>
      <c r="AC95" s="533"/>
      <c r="AD95" s="533"/>
      <c r="AE95" s="533"/>
      <c r="AF95" s="533"/>
      <c r="AG95" s="533"/>
      <c r="AH95" s="533"/>
      <c r="AI95" s="533"/>
      <c r="AJ95" s="533"/>
      <c r="AK95" s="533"/>
      <c r="AL95" s="533"/>
      <c r="AM95" s="533"/>
      <c r="AN95" s="533"/>
      <c r="AO95" s="533"/>
      <c r="AP95" s="533"/>
      <c r="AQ95" s="533"/>
      <c r="AR95" s="533"/>
      <c r="AS95" s="533"/>
      <c r="AT95" s="533"/>
      <c r="AU95" s="533"/>
      <c r="AV95" s="533"/>
      <c r="AW95" s="533"/>
      <c r="AX95" s="533"/>
      <c r="AY95" s="533"/>
      <c r="AZ95" s="533"/>
      <c r="BA95" s="533"/>
      <c r="BB95" s="533"/>
      <c r="BC95" s="533"/>
      <c r="BD95" s="533"/>
      <c r="BE95" s="533"/>
      <c r="BF95" s="533"/>
      <c r="BG95" s="533"/>
      <c r="BH95" s="533"/>
      <c r="BI95" s="533"/>
      <c r="BJ95" s="533"/>
      <c r="BK95" s="533"/>
      <c r="BL95" s="533"/>
      <c r="BM95" s="533"/>
      <c r="BN95" s="533"/>
      <c r="BO95" s="533"/>
      <c r="BP95" s="533"/>
      <c r="BQ95" s="533"/>
      <c r="BR95" s="533"/>
      <c r="BS95" s="533"/>
      <c r="BT95" s="533"/>
      <c r="BU95" s="533"/>
      <c r="BV95" s="533"/>
      <c r="BW95" s="533"/>
      <c r="BX95" s="533"/>
      <c r="BY95" s="533"/>
      <c r="BZ95" s="533"/>
      <c r="CA95" s="533"/>
      <c r="CB95" s="533"/>
      <c r="CC95" s="533"/>
      <c r="CD95" s="533"/>
      <c r="CE95" s="533"/>
      <c r="CF95" s="534"/>
    </row>
    <row r="96" spans="3:84" ht="14.25" customHeight="1">
      <c r="C96" s="528"/>
      <c r="R96" s="562"/>
      <c r="S96" s="533"/>
      <c r="T96" s="533"/>
      <c r="U96" s="533"/>
      <c r="V96" s="533"/>
      <c r="W96" s="533"/>
      <c r="X96" s="533"/>
      <c r="Y96" s="533"/>
      <c r="Z96" s="533"/>
      <c r="AA96" s="533"/>
      <c r="AB96" s="533"/>
      <c r="AC96" s="533"/>
      <c r="AD96" s="533"/>
      <c r="AE96" s="533"/>
      <c r="AF96" s="533"/>
      <c r="AG96" s="533"/>
      <c r="AH96" s="533"/>
      <c r="AI96" s="533"/>
      <c r="AJ96" s="533"/>
      <c r="AK96" s="533"/>
      <c r="AL96" s="533"/>
      <c r="AM96" s="533"/>
      <c r="AN96" s="533"/>
      <c r="AO96" s="533"/>
      <c r="AP96" s="533"/>
      <c r="AQ96" s="533"/>
      <c r="AR96" s="533"/>
      <c r="AS96" s="533"/>
      <c r="AT96" s="533"/>
      <c r="AU96" s="533"/>
      <c r="AV96" s="533"/>
      <c r="AW96" s="533"/>
      <c r="AX96" s="533"/>
      <c r="AY96" s="533"/>
      <c r="AZ96" s="533"/>
      <c r="BA96" s="533"/>
      <c r="BB96" s="533"/>
      <c r="BC96" s="533"/>
      <c r="BD96" s="533"/>
      <c r="BE96" s="533"/>
      <c r="BF96" s="533"/>
      <c r="BG96" s="533"/>
      <c r="BH96" s="533"/>
      <c r="BI96" s="533"/>
      <c r="BJ96" s="533"/>
      <c r="BK96" s="533"/>
      <c r="BL96" s="533"/>
      <c r="BM96" s="533"/>
      <c r="BN96" s="533"/>
      <c r="BO96" s="533"/>
      <c r="BP96" s="533"/>
      <c r="BQ96" s="533"/>
      <c r="BR96" s="533"/>
      <c r="BS96" s="533"/>
      <c r="BT96" s="533"/>
      <c r="BU96" s="533"/>
      <c r="BV96" s="533"/>
      <c r="BW96" s="533"/>
      <c r="BX96" s="533"/>
      <c r="BY96" s="533"/>
      <c r="BZ96" s="533"/>
      <c r="CA96" s="533"/>
      <c r="CB96" s="533"/>
      <c r="CC96" s="533"/>
      <c r="CD96" s="533"/>
      <c r="CE96" s="533"/>
      <c r="CF96" s="534"/>
    </row>
    <row r="97" spans="3:84" ht="15" customHeight="1">
      <c r="C97" s="528"/>
      <c r="R97" s="693"/>
      <c r="S97" s="779" t="s">
        <v>764</v>
      </c>
      <c r="T97" s="779"/>
      <c r="U97" s="779"/>
      <c r="V97" s="779"/>
      <c r="W97" s="779"/>
      <c r="X97" s="779"/>
      <c r="Y97" s="779"/>
      <c r="Z97" s="779"/>
      <c r="AA97" s="779"/>
      <c r="AB97" s="779"/>
      <c r="AC97" s="779"/>
      <c r="AD97" s="779"/>
      <c r="AE97" s="779"/>
      <c r="AF97" s="779"/>
      <c r="AG97" s="779"/>
      <c r="AH97" s="779"/>
      <c r="AI97" s="779"/>
      <c r="AJ97" s="779"/>
      <c r="AK97" s="779"/>
      <c r="AL97" s="779"/>
      <c r="AM97" s="779"/>
      <c r="AN97" s="779"/>
      <c r="AO97" s="779"/>
      <c r="AP97" s="779"/>
      <c r="AQ97" s="779"/>
      <c r="AR97" s="779"/>
      <c r="AS97" s="779"/>
      <c r="AT97" s="779"/>
      <c r="AU97" s="779"/>
      <c r="AV97" s="533"/>
      <c r="AW97" s="759" t="s">
        <v>765</v>
      </c>
      <c r="AX97" s="759"/>
      <c r="AY97" s="759"/>
      <c r="AZ97" s="759"/>
      <c r="BA97" s="759"/>
      <c r="BB97" s="759"/>
      <c r="BC97" s="759"/>
      <c r="BD97" s="759"/>
      <c r="BE97" s="759"/>
      <c r="BF97" s="759"/>
      <c r="BG97" s="759"/>
      <c r="BH97" s="759"/>
      <c r="BI97" s="759"/>
      <c r="BJ97" s="759"/>
      <c r="BK97" s="759"/>
      <c r="BL97" s="759"/>
      <c r="BM97" s="759"/>
      <c r="BN97" s="759"/>
      <c r="BO97" s="759"/>
      <c r="BP97" s="759"/>
      <c r="BQ97" s="759"/>
      <c r="BR97" s="759"/>
      <c r="BS97" s="759"/>
      <c r="BT97" s="759"/>
      <c r="BU97" s="759"/>
      <c r="BV97" s="759"/>
      <c r="BW97" s="759"/>
      <c r="BX97" s="759"/>
      <c r="BY97" s="759"/>
      <c r="BZ97" s="563"/>
      <c r="CA97" s="563"/>
      <c r="CB97" s="563"/>
      <c r="CC97" s="533"/>
      <c r="CD97" s="533"/>
      <c r="CE97" s="533"/>
      <c r="CF97" s="534"/>
    </row>
    <row r="98" spans="3:84" ht="15" customHeight="1" thickBot="1">
      <c r="C98" s="528"/>
      <c r="R98" s="693"/>
      <c r="S98" s="780"/>
      <c r="T98" s="780"/>
      <c r="U98" s="780"/>
      <c r="V98" s="780"/>
      <c r="W98" s="780"/>
      <c r="X98" s="780"/>
      <c r="Y98" s="780"/>
      <c r="Z98" s="780"/>
      <c r="AA98" s="780"/>
      <c r="AB98" s="780"/>
      <c r="AC98" s="780"/>
      <c r="AD98" s="780"/>
      <c r="AE98" s="780"/>
      <c r="AF98" s="780"/>
      <c r="AG98" s="780"/>
      <c r="AH98" s="780"/>
      <c r="AI98" s="780"/>
      <c r="AJ98" s="780"/>
      <c r="AK98" s="780"/>
      <c r="AL98" s="780"/>
      <c r="AM98" s="780"/>
      <c r="AN98" s="780"/>
      <c r="AO98" s="780"/>
      <c r="AP98" s="780"/>
      <c r="AQ98" s="780"/>
      <c r="AR98" s="780"/>
      <c r="AS98" s="780"/>
      <c r="AT98" s="780"/>
      <c r="AU98" s="780"/>
      <c r="AV98" s="533"/>
      <c r="AW98" s="760"/>
      <c r="AX98" s="760"/>
      <c r="AY98" s="760"/>
      <c r="AZ98" s="760"/>
      <c r="BA98" s="760"/>
      <c r="BB98" s="760"/>
      <c r="BC98" s="760"/>
      <c r="BD98" s="760"/>
      <c r="BE98" s="760"/>
      <c r="BF98" s="760"/>
      <c r="BG98" s="760"/>
      <c r="BH98" s="760"/>
      <c r="BI98" s="760"/>
      <c r="BJ98" s="760"/>
      <c r="BK98" s="760"/>
      <c r="BL98" s="760"/>
      <c r="BM98" s="760"/>
      <c r="BN98" s="760"/>
      <c r="BO98" s="760"/>
      <c r="BP98" s="760"/>
      <c r="BQ98" s="760"/>
      <c r="BR98" s="760"/>
      <c r="BS98" s="760"/>
      <c r="BT98" s="760"/>
      <c r="BU98" s="760"/>
      <c r="BV98" s="760"/>
      <c r="BW98" s="760"/>
      <c r="BX98" s="760"/>
      <c r="BY98" s="760"/>
      <c r="BZ98" s="533"/>
      <c r="CA98" s="533"/>
      <c r="CB98" s="533"/>
      <c r="CC98" s="533"/>
      <c r="CD98" s="533"/>
      <c r="CE98" s="533"/>
      <c r="CF98" s="534"/>
    </row>
    <row r="99" spans="3:84">
      <c r="C99" s="528"/>
      <c r="R99" s="562"/>
      <c r="S99" s="761" t="s">
        <v>766</v>
      </c>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3"/>
      <c r="AV99" s="533"/>
      <c r="AW99" s="767" t="s">
        <v>767</v>
      </c>
      <c r="AX99" s="768"/>
      <c r="AY99" s="768"/>
      <c r="AZ99" s="768"/>
      <c r="BA99" s="768"/>
      <c r="BB99" s="768"/>
      <c r="BC99" s="768"/>
      <c r="BD99" s="768"/>
      <c r="BE99" s="768"/>
      <c r="BF99" s="768"/>
      <c r="BG99" s="768"/>
      <c r="BH99" s="768"/>
      <c r="BI99" s="768"/>
      <c r="BJ99" s="768"/>
      <c r="BK99" s="768"/>
      <c r="BL99" s="768"/>
      <c r="BM99" s="768"/>
      <c r="BN99" s="768"/>
      <c r="BO99" s="768"/>
      <c r="BP99" s="768"/>
      <c r="BQ99" s="768"/>
      <c r="BR99" s="768"/>
      <c r="BS99" s="768"/>
      <c r="BT99" s="768"/>
      <c r="BU99" s="768"/>
      <c r="BV99" s="768"/>
      <c r="BW99" s="768"/>
      <c r="BX99" s="768"/>
      <c r="BY99" s="769"/>
      <c r="BZ99" s="533"/>
      <c r="CA99" s="533"/>
      <c r="CB99" s="533"/>
      <c r="CC99" s="533"/>
      <c r="CD99" s="533"/>
      <c r="CE99" s="533"/>
      <c r="CF99" s="534"/>
    </row>
    <row r="100" spans="3:84">
      <c r="C100" s="528"/>
      <c r="R100" s="693"/>
      <c r="S100" s="764"/>
      <c r="T100" s="765"/>
      <c r="U100" s="765"/>
      <c r="V100" s="765"/>
      <c r="W100" s="765"/>
      <c r="X100" s="765"/>
      <c r="Y100" s="765"/>
      <c r="Z100" s="765"/>
      <c r="AA100" s="765"/>
      <c r="AB100" s="765"/>
      <c r="AC100" s="765"/>
      <c r="AD100" s="765"/>
      <c r="AE100" s="765"/>
      <c r="AF100" s="765"/>
      <c r="AG100" s="765"/>
      <c r="AH100" s="765"/>
      <c r="AI100" s="765"/>
      <c r="AJ100" s="765"/>
      <c r="AK100" s="765"/>
      <c r="AL100" s="765"/>
      <c r="AM100" s="765"/>
      <c r="AN100" s="765"/>
      <c r="AO100" s="765"/>
      <c r="AP100" s="765"/>
      <c r="AQ100" s="765"/>
      <c r="AR100" s="765"/>
      <c r="AS100" s="765"/>
      <c r="AT100" s="765"/>
      <c r="AU100" s="766"/>
      <c r="AV100" s="533"/>
      <c r="AW100" s="770"/>
      <c r="AX100" s="771"/>
      <c r="AY100" s="771"/>
      <c r="AZ100" s="771"/>
      <c r="BA100" s="771"/>
      <c r="BB100" s="771"/>
      <c r="BC100" s="771"/>
      <c r="BD100" s="771"/>
      <c r="BE100" s="771"/>
      <c r="BF100" s="771"/>
      <c r="BG100" s="771"/>
      <c r="BH100" s="771"/>
      <c r="BI100" s="771"/>
      <c r="BJ100" s="771"/>
      <c r="BK100" s="771"/>
      <c r="BL100" s="771"/>
      <c r="BM100" s="771"/>
      <c r="BN100" s="771"/>
      <c r="BO100" s="771"/>
      <c r="BP100" s="771"/>
      <c r="BQ100" s="771"/>
      <c r="BR100" s="771"/>
      <c r="BS100" s="771"/>
      <c r="BT100" s="771"/>
      <c r="BU100" s="771"/>
      <c r="BV100" s="771"/>
      <c r="BW100" s="771"/>
      <c r="BX100" s="771"/>
      <c r="BY100" s="772"/>
      <c r="BZ100" s="533"/>
      <c r="CA100" s="533"/>
      <c r="CB100" s="533"/>
      <c r="CC100" s="533"/>
      <c r="CD100" s="533"/>
      <c r="CE100" s="533"/>
      <c r="CF100" s="534"/>
    </row>
    <row r="101" spans="3:84">
      <c r="C101" s="528"/>
      <c r="R101" s="693"/>
      <c r="S101" s="773"/>
      <c r="T101" s="717" t="s">
        <v>488</v>
      </c>
      <c r="U101" s="718"/>
      <c r="V101" s="718"/>
      <c r="W101" s="718"/>
      <c r="X101" s="718"/>
      <c r="Y101" s="718"/>
      <c r="Z101" s="719"/>
      <c r="AA101" s="749"/>
      <c r="AB101" s="751" t="s">
        <v>344</v>
      </c>
      <c r="AC101" s="751"/>
      <c r="AD101" s="752"/>
      <c r="AE101" s="564"/>
      <c r="AF101" s="751" t="s">
        <v>194</v>
      </c>
      <c r="AG101" s="751"/>
      <c r="AH101" s="752"/>
      <c r="AI101" s="564"/>
      <c r="AJ101" s="751" t="s">
        <v>345</v>
      </c>
      <c r="AK101" s="751"/>
      <c r="AL101" s="752"/>
      <c r="AM101" s="564"/>
      <c r="AN101" s="751" t="s">
        <v>39</v>
      </c>
      <c r="AO101" s="751"/>
      <c r="AP101" s="752"/>
      <c r="AQ101" s="564"/>
      <c r="AR101" s="751" t="s">
        <v>447</v>
      </c>
      <c r="AS101" s="751"/>
      <c r="AT101" s="752"/>
      <c r="AU101" s="565"/>
      <c r="AV101" s="533"/>
      <c r="AW101" s="776"/>
      <c r="AX101" s="717" t="s">
        <v>768</v>
      </c>
      <c r="AY101" s="718"/>
      <c r="AZ101" s="718"/>
      <c r="BA101" s="718"/>
      <c r="BB101" s="718"/>
      <c r="BC101" s="718"/>
      <c r="BD101" s="719"/>
      <c r="BE101" s="749"/>
      <c r="BF101" s="751" t="s">
        <v>344</v>
      </c>
      <c r="BG101" s="751"/>
      <c r="BH101" s="752"/>
      <c r="BI101" s="564"/>
      <c r="BJ101" s="751" t="s">
        <v>194</v>
      </c>
      <c r="BK101" s="751"/>
      <c r="BL101" s="752"/>
      <c r="BM101" s="564"/>
      <c r="BN101" s="751" t="s">
        <v>345</v>
      </c>
      <c r="BO101" s="751"/>
      <c r="BP101" s="752"/>
      <c r="BQ101" s="564"/>
      <c r="BR101" s="751" t="s">
        <v>39</v>
      </c>
      <c r="BS101" s="751"/>
      <c r="BT101" s="752"/>
      <c r="BU101" s="564"/>
      <c r="BV101" s="751" t="s">
        <v>447</v>
      </c>
      <c r="BW101" s="751"/>
      <c r="BX101" s="752"/>
      <c r="BY101" s="565"/>
      <c r="BZ101" s="533"/>
      <c r="CA101" s="533"/>
      <c r="CB101" s="533"/>
      <c r="CC101" s="533"/>
      <c r="CD101" s="533"/>
      <c r="CE101" s="533"/>
      <c r="CF101" s="534"/>
    </row>
    <row r="102" spans="3:84">
      <c r="C102" s="528"/>
      <c r="R102" s="693"/>
      <c r="S102" s="774"/>
      <c r="T102" s="720"/>
      <c r="U102" s="721"/>
      <c r="V102" s="721"/>
      <c r="W102" s="721"/>
      <c r="X102" s="721"/>
      <c r="Y102" s="721"/>
      <c r="Z102" s="722"/>
      <c r="AA102" s="750"/>
      <c r="AB102" s="753"/>
      <c r="AC102" s="753"/>
      <c r="AD102" s="754"/>
      <c r="AE102" s="566"/>
      <c r="AF102" s="753"/>
      <c r="AG102" s="753"/>
      <c r="AH102" s="754"/>
      <c r="AI102" s="566"/>
      <c r="AJ102" s="753"/>
      <c r="AK102" s="753"/>
      <c r="AL102" s="754"/>
      <c r="AM102" s="566"/>
      <c r="AN102" s="753"/>
      <c r="AO102" s="753"/>
      <c r="AP102" s="754"/>
      <c r="AQ102" s="566"/>
      <c r="AR102" s="753"/>
      <c r="AS102" s="753"/>
      <c r="AT102" s="754"/>
      <c r="AU102" s="567"/>
      <c r="AV102" s="533"/>
      <c r="AW102" s="777"/>
      <c r="AX102" s="720"/>
      <c r="AY102" s="721"/>
      <c r="AZ102" s="721"/>
      <c r="BA102" s="721"/>
      <c r="BB102" s="721"/>
      <c r="BC102" s="721"/>
      <c r="BD102" s="722"/>
      <c r="BE102" s="750"/>
      <c r="BF102" s="753"/>
      <c r="BG102" s="753"/>
      <c r="BH102" s="754"/>
      <c r="BI102" s="566"/>
      <c r="BJ102" s="753"/>
      <c r="BK102" s="753"/>
      <c r="BL102" s="754"/>
      <c r="BM102" s="566"/>
      <c r="BN102" s="753"/>
      <c r="BO102" s="753"/>
      <c r="BP102" s="754"/>
      <c r="BQ102" s="566"/>
      <c r="BR102" s="753"/>
      <c r="BS102" s="753"/>
      <c r="BT102" s="754"/>
      <c r="BU102" s="566"/>
      <c r="BV102" s="753"/>
      <c r="BW102" s="753"/>
      <c r="BX102" s="754"/>
      <c r="BY102" s="567"/>
      <c r="BZ102" s="533"/>
      <c r="CA102" s="533"/>
      <c r="CB102" s="533"/>
      <c r="CC102" s="533"/>
      <c r="CD102" s="533"/>
      <c r="CE102" s="533"/>
      <c r="CF102" s="534"/>
    </row>
    <row r="103" spans="3:84">
      <c r="C103" s="528"/>
      <c r="R103" s="693"/>
      <c r="S103" s="774"/>
      <c r="T103" s="755"/>
      <c r="U103" s="738" t="s">
        <v>346</v>
      </c>
      <c r="V103" s="739"/>
      <c r="W103" s="739"/>
      <c r="X103" s="744" t="s">
        <v>347</v>
      </c>
      <c r="Y103" s="709"/>
      <c r="Z103" s="710"/>
      <c r="AA103" s="698"/>
      <c r="AB103" s="691">
        <f>[1]⑥算定結果!$J$7</f>
        <v>864.58998633403064</v>
      </c>
      <c r="AC103" s="691"/>
      <c r="AD103" s="692"/>
      <c r="AE103" s="685"/>
      <c r="AF103" s="691">
        <f>[1]⑥算定結果!$O$7</f>
        <v>1211.7600000000002</v>
      </c>
      <c r="AG103" s="691"/>
      <c r="AH103" s="692"/>
      <c r="AI103" s="685"/>
      <c r="AJ103" s="691">
        <f>[1]⑥算定結果!$T$7</f>
        <v>0</v>
      </c>
      <c r="AK103" s="691"/>
      <c r="AL103" s="692"/>
      <c r="AM103" s="685"/>
      <c r="AN103" s="691">
        <f>[1]⑥算定結果!$AD$7</f>
        <v>2076.3499863340307</v>
      </c>
      <c r="AO103" s="691"/>
      <c r="AP103" s="692"/>
      <c r="AQ103" s="685"/>
      <c r="AR103" s="729">
        <f>[1]⑥算定結果!$AI$7</f>
        <v>100</v>
      </c>
      <c r="AS103" s="729"/>
      <c r="AT103" s="730"/>
      <c r="AU103" s="690"/>
      <c r="AV103" s="533"/>
      <c r="AW103" s="777"/>
      <c r="AX103" s="755"/>
      <c r="AY103" s="738" t="s">
        <v>346</v>
      </c>
      <c r="AZ103" s="739"/>
      <c r="BA103" s="739"/>
      <c r="BB103" s="744" t="s">
        <v>347</v>
      </c>
      <c r="BC103" s="709"/>
      <c r="BD103" s="710"/>
      <c r="BE103" s="698"/>
      <c r="BF103" s="746">
        <f>[1]⑥算定結果!$J$20</f>
        <v>3265.2320123612299</v>
      </c>
      <c r="BG103" s="747"/>
      <c r="BH103" s="747"/>
      <c r="BI103" s="685"/>
      <c r="BJ103" s="691">
        <f>+[1]⑥算定結果!O20</f>
        <v>0</v>
      </c>
      <c r="BK103" s="691"/>
      <c r="BL103" s="692"/>
      <c r="BM103" s="685"/>
      <c r="BN103" s="691">
        <f>+[1]⑥算定結果!T20</f>
        <v>-590.98176479999995</v>
      </c>
      <c r="BO103" s="691"/>
      <c r="BP103" s="692"/>
      <c r="BQ103" s="685"/>
      <c r="BR103" s="691">
        <f>+[1]⑥算定結果!AD20</f>
        <v>2674.25024756123</v>
      </c>
      <c r="BS103" s="691"/>
      <c r="BT103" s="692"/>
      <c r="BU103" s="685"/>
      <c r="BV103" s="729">
        <f>+[1]⑥算定結果!AI20</f>
        <v>128.79573603498523</v>
      </c>
      <c r="BW103" s="729"/>
      <c r="BX103" s="730"/>
      <c r="BY103" s="690"/>
      <c r="BZ103" s="533"/>
      <c r="CA103" s="533"/>
      <c r="CB103" s="533"/>
      <c r="CC103" s="533"/>
      <c r="CD103" s="533"/>
      <c r="CE103" s="533"/>
      <c r="CF103" s="534"/>
    </row>
    <row r="104" spans="3:84">
      <c r="C104" s="528"/>
      <c r="R104" s="693"/>
      <c r="S104" s="774"/>
      <c r="T104" s="756"/>
      <c r="U104" s="740"/>
      <c r="V104" s="741"/>
      <c r="W104" s="741"/>
      <c r="X104" s="745"/>
      <c r="Y104" s="696"/>
      <c r="Z104" s="697"/>
      <c r="AA104" s="698"/>
      <c r="AB104" s="691"/>
      <c r="AC104" s="691"/>
      <c r="AD104" s="692"/>
      <c r="AE104" s="685"/>
      <c r="AF104" s="691"/>
      <c r="AG104" s="691"/>
      <c r="AH104" s="692"/>
      <c r="AI104" s="685"/>
      <c r="AJ104" s="691"/>
      <c r="AK104" s="691"/>
      <c r="AL104" s="692"/>
      <c r="AM104" s="685"/>
      <c r="AN104" s="691"/>
      <c r="AO104" s="691"/>
      <c r="AP104" s="692"/>
      <c r="AQ104" s="685"/>
      <c r="AR104" s="729"/>
      <c r="AS104" s="729"/>
      <c r="AT104" s="730"/>
      <c r="AU104" s="690"/>
      <c r="AV104" s="533"/>
      <c r="AW104" s="777"/>
      <c r="AX104" s="756"/>
      <c r="AY104" s="740"/>
      <c r="AZ104" s="741"/>
      <c r="BA104" s="741"/>
      <c r="BB104" s="745"/>
      <c r="BC104" s="696"/>
      <c r="BD104" s="697"/>
      <c r="BE104" s="698"/>
      <c r="BF104" s="704"/>
      <c r="BG104" s="748"/>
      <c r="BH104" s="748"/>
      <c r="BI104" s="685"/>
      <c r="BJ104" s="691"/>
      <c r="BK104" s="691"/>
      <c r="BL104" s="692"/>
      <c r="BM104" s="685"/>
      <c r="BN104" s="691"/>
      <c r="BO104" s="691"/>
      <c r="BP104" s="692"/>
      <c r="BQ104" s="685"/>
      <c r="BR104" s="691"/>
      <c r="BS104" s="691"/>
      <c r="BT104" s="692"/>
      <c r="BU104" s="685"/>
      <c r="BV104" s="729"/>
      <c r="BW104" s="729"/>
      <c r="BX104" s="730"/>
      <c r="BY104" s="690"/>
      <c r="BZ104" s="533"/>
      <c r="CA104" s="533"/>
      <c r="CB104" s="533"/>
      <c r="CC104" s="533"/>
      <c r="CD104" s="533"/>
      <c r="CE104" s="533"/>
      <c r="CF104" s="534"/>
    </row>
    <row r="105" spans="3:84">
      <c r="C105" s="528"/>
      <c r="R105" s="693"/>
      <c r="S105" s="774"/>
      <c r="T105" s="756"/>
      <c r="U105" s="740"/>
      <c r="V105" s="741"/>
      <c r="W105" s="741"/>
      <c r="X105" s="733" t="s">
        <v>348</v>
      </c>
      <c r="Y105" s="694"/>
      <c r="Z105" s="695"/>
      <c r="AA105" s="698"/>
      <c r="AB105" s="691">
        <f>[1]⑥算定結果!$J$8</f>
        <v>389</v>
      </c>
      <c r="AC105" s="691"/>
      <c r="AD105" s="692"/>
      <c r="AE105" s="685"/>
      <c r="AF105" s="691">
        <f>[1]⑥算定結果!$O$8</f>
        <v>1212</v>
      </c>
      <c r="AG105" s="691"/>
      <c r="AH105" s="692"/>
      <c r="AI105" s="685"/>
      <c r="AJ105" s="691">
        <f>[1]⑥算定結果!$T$8</f>
        <v>0</v>
      </c>
      <c r="AK105" s="691"/>
      <c r="AL105" s="692"/>
      <c r="AM105" s="685"/>
      <c r="AN105" s="691">
        <f>[1]⑥算定結果!$AD$8</f>
        <v>1601</v>
      </c>
      <c r="AO105" s="691"/>
      <c r="AP105" s="692"/>
      <c r="AQ105" s="685"/>
      <c r="AR105" s="729">
        <f>[1]⑥算定結果!$AI$8</f>
        <v>100</v>
      </c>
      <c r="AS105" s="729"/>
      <c r="AT105" s="730"/>
      <c r="AU105" s="690"/>
      <c r="AV105" s="533"/>
      <c r="AW105" s="777"/>
      <c r="AX105" s="756"/>
      <c r="AY105" s="740"/>
      <c r="AZ105" s="741"/>
      <c r="BA105" s="741"/>
      <c r="BB105" s="733" t="s">
        <v>348</v>
      </c>
      <c r="BC105" s="694"/>
      <c r="BD105" s="695"/>
      <c r="BE105" s="698"/>
      <c r="BF105" s="746">
        <f>[1]⑥算定結果!$J$21</f>
        <v>1469</v>
      </c>
      <c r="BG105" s="747"/>
      <c r="BH105" s="747"/>
      <c r="BI105" s="685"/>
      <c r="BJ105" s="691">
        <f>+[1]⑥算定結果!O21</f>
        <v>0</v>
      </c>
      <c r="BK105" s="691"/>
      <c r="BL105" s="692"/>
      <c r="BM105" s="685"/>
      <c r="BN105" s="691">
        <f>+[1]⑥算定結果!T21</f>
        <v>-396</v>
      </c>
      <c r="BO105" s="691"/>
      <c r="BP105" s="692"/>
      <c r="BQ105" s="685"/>
      <c r="BR105" s="691">
        <f>+[1]⑥算定結果!AD21</f>
        <v>1073</v>
      </c>
      <c r="BS105" s="691"/>
      <c r="BT105" s="692"/>
      <c r="BU105" s="685"/>
      <c r="BV105" s="729">
        <f>+[1]⑥算定結果!AI21</f>
        <v>67.020612117426609</v>
      </c>
      <c r="BW105" s="729"/>
      <c r="BX105" s="730"/>
      <c r="BY105" s="690"/>
      <c r="BZ105" s="533"/>
      <c r="CA105" s="533"/>
      <c r="CB105" s="533"/>
      <c r="CC105" s="533"/>
      <c r="CD105" s="533"/>
      <c r="CE105" s="533"/>
      <c r="CF105" s="534"/>
    </row>
    <row r="106" spans="3:84">
      <c r="C106" s="528"/>
      <c r="R106" s="693"/>
      <c r="S106" s="774"/>
      <c r="T106" s="756"/>
      <c r="U106" s="742"/>
      <c r="V106" s="743"/>
      <c r="W106" s="743"/>
      <c r="X106" s="734"/>
      <c r="Y106" s="735"/>
      <c r="Z106" s="736"/>
      <c r="AA106" s="737"/>
      <c r="AB106" s="727"/>
      <c r="AC106" s="727"/>
      <c r="AD106" s="728"/>
      <c r="AE106" s="726"/>
      <c r="AF106" s="727"/>
      <c r="AG106" s="727"/>
      <c r="AH106" s="728"/>
      <c r="AI106" s="726"/>
      <c r="AJ106" s="727"/>
      <c r="AK106" s="727"/>
      <c r="AL106" s="728"/>
      <c r="AM106" s="726"/>
      <c r="AN106" s="727"/>
      <c r="AO106" s="727"/>
      <c r="AP106" s="728"/>
      <c r="AQ106" s="726"/>
      <c r="AR106" s="731"/>
      <c r="AS106" s="731"/>
      <c r="AT106" s="732"/>
      <c r="AU106" s="725"/>
      <c r="AV106" s="533"/>
      <c r="AW106" s="777"/>
      <c r="AX106" s="756"/>
      <c r="AY106" s="742"/>
      <c r="AZ106" s="743"/>
      <c r="BA106" s="743"/>
      <c r="BB106" s="734"/>
      <c r="BC106" s="735"/>
      <c r="BD106" s="736"/>
      <c r="BE106" s="737"/>
      <c r="BF106" s="757"/>
      <c r="BG106" s="758"/>
      <c r="BH106" s="758"/>
      <c r="BI106" s="726"/>
      <c r="BJ106" s="727"/>
      <c r="BK106" s="727"/>
      <c r="BL106" s="728"/>
      <c r="BM106" s="726"/>
      <c r="BN106" s="727"/>
      <c r="BO106" s="727"/>
      <c r="BP106" s="728"/>
      <c r="BQ106" s="726"/>
      <c r="BR106" s="727"/>
      <c r="BS106" s="727"/>
      <c r="BT106" s="728"/>
      <c r="BU106" s="726"/>
      <c r="BV106" s="731"/>
      <c r="BW106" s="731"/>
      <c r="BX106" s="732"/>
      <c r="BY106" s="725"/>
      <c r="BZ106" s="533"/>
      <c r="CA106" s="533"/>
      <c r="CB106" s="533"/>
      <c r="CC106" s="533"/>
      <c r="CD106" s="533"/>
      <c r="CE106" s="533"/>
      <c r="CF106" s="534"/>
    </row>
    <row r="107" spans="3:84">
      <c r="C107" s="528"/>
      <c r="R107" s="693"/>
      <c r="S107" s="774"/>
      <c r="T107" s="717" t="s">
        <v>769</v>
      </c>
      <c r="U107" s="718"/>
      <c r="V107" s="718"/>
      <c r="W107" s="718"/>
      <c r="X107" s="718"/>
      <c r="Y107" s="718"/>
      <c r="Z107" s="719"/>
      <c r="AA107" s="723"/>
      <c r="AB107" s="713" t="s">
        <v>344</v>
      </c>
      <c r="AC107" s="713"/>
      <c r="AD107" s="714"/>
      <c r="AE107" s="711"/>
      <c r="AF107" s="713" t="s">
        <v>194</v>
      </c>
      <c r="AG107" s="713"/>
      <c r="AH107" s="714"/>
      <c r="AI107" s="711"/>
      <c r="AJ107" s="713" t="s">
        <v>345</v>
      </c>
      <c r="AK107" s="713"/>
      <c r="AL107" s="714"/>
      <c r="AM107" s="711"/>
      <c r="AN107" s="713" t="s">
        <v>39</v>
      </c>
      <c r="AO107" s="713"/>
      <c r="AP107" s="714"/>
      <c r="AQ107" s="711"/>
      <c r="AR107" s="713" t="s">
        <v>447</v>
      </c>
      <c r="AS107" s="713"/>
      <c r="AT107" s="714"/>
      <c r="AU107" s="565"/>
      <c r="AV107" s="533"/>
      <c r="AW107" s="777"/>
      <c r="AX107" s="717" t="s">
        <v>770</v>
      </c>
      <c r="AY107" s="718"/>
      <c r="AZ107" s="718"/>
      <c r="BA107" s="718"/>
      <c r="BB107" s="718"/>
      <c r="BC107" s="718"/>
      <c r="BD107" s="719"/>
      <c r="BE107" s="723"/>
      <c r="BF107" s="713" t="s">
        <v>344</v>
      </c>
      <c r="BG107" s="713"/>
      <c r="BH107" s="714"/>
      <c r="BI107" s="711"/>
      <c r="BJ107" s="713" t="s">
        <v>194</v>
      </c>
      <c r="BK107" s="713"/>
      <c r="BL107" s="714"/>
      <c r="BM107" s="711"/>
      <c r="BN107" s="713" t="s">
        <v>345</v>
      </c>
      <c r="BO107" s="713"/>
      <c r="BP107" s="714"/>
      <c r="BQ107" s="711"/>
      <c r="BR107" s="713" t="s">
        <v>39</v>
      </c>
      <c r="BS107" s="713"/>
      <c r="BT107" s="714"/>
      <c r="BU107" s="711"/>
      <c r="BV107" s="713" t="s">
        <v>447</v>
      </c>
      <c r="BW107" s="713"/>
      <c r="BX107" s="714"/>
      <c r="BY107" s="565"/>
      <c r="BZ107" s="533"/>
      <c r="CA107" s="533"/>
      <c r="CB107" s="533"/>
      <c r="CC107" s="533"/>
      <c r="CD107" s="533"/>
      <c r="CE107" s="533"/>
      <c r="CF107" s="534"/>
    </row>
    <row r="108" spans="3:84">
      <c r="C108" s="528"/>
      <c r="R108" s="693"/>
      <c r="S108" s="774"/>
      <c r="T108" s="720"/>
      <c r="U108" s="721"/>
      <c r="V108" s="721"/>
      <c r="W108" s="721"/>
      <c r="X108" s="721"/>
      <c r="Y108" s="721"/>
      <c r="Z108" s="722"/>
      <c r="AA108" s="724"/>
      <c r="AB108" s="715"/>
      <c r="AC108" s="715"/>
      <c r="AD108" s="716"/>
      <c r="AE108" s="712"/>
      <c r="AF108" s="715"/>
      <c r="AG108" s="715"/>
      <c r="AH108" s="716"/>
      <c r="AI108" s="712"/>
      <c r="AJ108" s="715"/>
      <c r="AK108" s="715"/>
      <c r="AL108" s="716"/>
      <c r="AM108" s="712"/>
      <c r="AN108" s="715"/>
      <c r="AO108" s="715"/>
      <c r="AP108" s="716"/>
      <c r="AQ108" s="712"/>
      <c r="AR108" s="715"/>
      <c r="AS108" s="715"/>
      <c r="AT108" s="716"/>
      <c r="AU108" s="567"/>
      <c r="AV108" s="533"/>
      <c r="AW108" s="777"/>
      <c r="AX108" s="720"/>
      <c r="AY108" s="721"/>
      <c r="AZ108" s="721"/>
      <c r="BA108" s="721"/>
      <c r="BB108" s="721"/>
      <c r="BC108" s="721"/>
      <c r="BD108" s="722"/>
      <c r="BE108" s="724"/>
      <c r="BF108" s="715"/>
      <c r="BG108" s="715"/>
      <c r="BH108" s="716"/>
      <c r="BI108" s="712"/>
      <c r="BJ108" s="715"/>
      <c r="BK108" s="715"/>
      <c r="BL108" s="716"/>
      <c r="BM108" s="712"/>
      <c r="BN108" s="715"/>
      <c r="BO108" s="715"/>
      <c r="BP108" s="716"/>
      <c r="BQ108" s="712"/>
      <c r="BR108" s="715"/>
      <c r="BS108" s="715"/>
      <c r="BT108" s="716"/>
      <c r="BU108" s="712"/>
      <c r="BV108" s="715"/>
      <c r="BW108" s="715"/>
      <c r="BX108" s="716"/>
      <c r="BY108" s="567"/>
      <c r="BZ108" s="533"/>
      <c r="CA108" s="533"/>
      <c r="CB108" s="533"/>
      <c r="CC108" s="533"/>
      <c r="CD108" s="533"/>
      <c r="CE108" s="533"/>
      <c r="CF108" s="534"/>
    </row>
    <row r="109" spans="3:84">
      <c r="C109" s="528"/>
      <c r="R109" s="693"/>
      <c r="S109" s="774"/>
      <c r="T109" s="707"/>
      <c r="U109" s="709" t="s">
        <v>46</v>
      </c>
      <c r="V109" s="709"/>
      <c r="W109" s="709"/>
      <c r="X109" s="709"/>
      <c r="Y109" s="709"/>
      <c r="Z109" s="710"/>
      <c r="AA109" s="700"/>
      <c r="AB109" s="703">
        <f>[1]⑥算定結果!$J$10</f>
        <v>55.04782411851177</v>
      </c>
      <c r="AC109" s="703"/>
      <c r="AD109" s="704"/>
      <c r="AE109" s="702"/>
      <c r="AF109" s="703">
        <f>[1]⑥算定結果!$O$10</f>
        <v>68.643004824009097</v>
      </c>
      <c r="AG109" s="703"/>
      <c r="AH109" s="704"/>
      <c r="AI109" s="702"/>
      <c r="AJ109" s="703">
        <f>[1]⑥算定結果!$T$10</f>
        <v>0</v>
      </c>
      <c r="AK109" s="703"/>
      <c r="AL109" s="704"/>
      <c r="AM109" s="702"/>
      <c r="AN109" s="703">
        <f>[1]⑥算定結果!$AD$10</f>
        <v>123.69082894252087</v>
      </c>
      <c r="AO109" s="703"/>
      <c r="AP109" s="704"/>
      <c r="AQ109" s="702"/>
      <c r="AR109" s="705">
        <f>[1]⑥算定結果!$AI$10</f>
        <v>100</v>
      </c>
      <c r="AS109" s="705"/>
      <c r="AT109" s="706"/>
      <c r="AU109" s="701"/>
      <c r="AV109" s="533"/>
      <c r="AW109" s="777"/>
      <c r="AX109" s="707"/>
      <c r="AY109" s="709" t="s">
        <v>46</v>
      </c>
      <c r="AZ109" s="709"/>
      <c r="BA109" s="709"/>
      <c r="BB109" s="709"/>
      <c r="BC109" s="709"/>
      <c r="BD109" s="710"/>
      <c r="BE109" s="700"/>
      <c r="BF109" s="703">
        <f>+[1]⑥算定結果!J23</f>
        <v>183.10112037256786</v>
      </c>
      <c r="BG109" s="703"/>
      <c r="BH109" s="704"/>
      <c r="BI109" s="702"/>
      <c r="BJ109" s="703">
        <f>+[1]⑥算定結果!O23</f>
        <v>0</v>
      </c>
      <c r="BK109" s="703"/>
      <c r="BL109" s="704"/>
      <c r="BM109" s="702"/>
      <c r="BN109" s="703">
        <f>+[1]⑥算定結果!T23</f>
        <v>-42.328851092920708</v>
      </c>
      <c r="BO109" s="703"/>
      <c r="BP109" s="704"/>
      <c r="BQ109" s="702"/>
      <c r="BR109" s="703">
        <f>+[1]⑥算定結果!AD23</f>
        <v>140.77226927964716</v>
      </c>
      <c r="BS109" s="703"/>
      <c r="BT109" s="704"/>
      <c r="BU109" s="702"/>
      <c r="BV109" s="705">
        <f>+[1]⑥算定結果!AI23</f>
        <v>113.80978726002722</v>
      </c>
      <c r="BW109" s="705"/>
      <c r="BX109" s="706"/>
      <c r="BY109" s="701"/>
      <c r="BZ109" s="533"/>
      <c r="CA109" s="533"/>
      <c r="CB109" s="533"/>
      <c r="CC109" s="533"/>
      <c r="CD109" s="533"/>
      <c r="CE109" s="533"/>
      <c r="CF109" s="534"/>
    </row>
    <row r="110" spans="3:84">
      <c r="C110" s="528"/>
      <c r="R110" s="693"/>
      <c r="S110" s="774"/>
      <c r="T110" s="707"/>
      <c r="U110" s="696"/>
      <c r="V110" s="696"/>
      <c r="W110" s="696"/>
      <c r="X110" s="696"/>
      <c r="Y110" s="696"/>
      <c r="Z110" s="697"/>
      <c r="AA110" s="698"/>
      <c r="AB110" s="691"/>
      <c r="AC110" s="691"/>
      <c r="AD110" s="692"/>
      <c r="AE110" s="685"/>
      <c r="AF110" s="691"/>
      <c r="AG110" s="691"/>
      <c r="AH110" s="692"/>
      <c r="AI110" s="685"/>
      <c r="AJ110" s="691"/>
      <c r="AK110" s="691"/>
      <c r="AL110" s="692"/>
      <c r="AM110" s="685"/>
      <c r="AN110" s="691"/>
      <c r="AO110" s="691"/>
      <c r="AP110" s="692"/>
      <c r="AQ110" s="685"/>
      <c r="AR110" s="688"/>
      <c r="AS110" s="688"/>
      <c r="AT110" s="689"/>
      <c r="AU110" s="690"/>
      <c r="AV110" s="533"/>
      <c r="AW110" s="777"/>
      <c r="AX110" s="707"/>
      <c r="AY110" s="696"/>
      <c r="AZ110" s="696"/>
      <c r="BA110" s="696"/>
      <c r="BB110" s="696"/>
      <c r="BC110" s="696"/>
      <c r="BD110" s="697"/>
      <c r="BE110" s="698"/>
      <c r="BF110" s="691"/>
      <c r="BG110" s="691"/>
      <c r="BH110" s="692"/>
      <c r="BI110" s="685"/>
      <c r="BJ110" s="691"/>
      <c r="BK110" s="691"/>
      <c r="BL110" s="692"/>
      <c r="BM110" s="685"/>
      <c r="BN110" s="691"/>
      <c r="BO110" s="691"/>
      <c r="BP110" s="692"/>
      <c r="BQ110" s="685"/>
      <c r="BR110" s="691"/>
      <c r="BS110" s="691"/>
      <c r="BT110" s="692"/>
      <c r="BU110" s="685"/>
      <c r="BV110" s="688"/>
      <c r="BW110" s="688"/>
      <c r="BX110" s="689"/>
      <c r="BY110" s="690"/>
      <c r="BZ110" s="533"/>
      <c r="CA110" s="533"/>
      <c r="CB110" s="533"/>
      <c r="CC110" s="533"/>
      <c r="CD110" s="533"/>
      <c r="CE110" s="533"/>
      <c r="CF110" s="534"/>
    </row>
    <row r="111" spans="3:84">
      <c r="C111" s="528"/>
      <c r="R111" s="693"/>
      <c r="S111" s="774"/>
      <c r="T111" s="707"/>
      <c r="U111" s="694" t="s">
        <v>17</v>
      </c>
      <c r="V111" s="694"/>
      <c r="W111" s="694"/>
      <c r="X111" s="694"/>
      <c r="Y111" s="694"/>
      <c r="Z111" s="695"/>
      <c r="AA111" s="698"/>
      <c r="AB111" s="691">
        <f>[1]⑥算定結果!$J$11</f>
        <v>36.668368239116944</v>
      </c>
      <c r="AC111" s="691"/>
      <c r="AD111" s="692"/>
      <c r="AE111" s="685"/>
      <c r="AF111" s="691">
        <f>[1]⑥算定結果!$O$11</f>
        <v>116.15760000000002</v>
      </c>
      <c r="AG111" s="691"/>
      <c r="AH111" s="692"/>
      <c r="AI111" s="685"/>
      <c r="AJ111" s="691">
        <f>[1]⑥算定結果!$T$11</f>
        <v>0</v>
      </c>
      <c r="AK111" s="691"/>
      <c r="AL111" s="692"/>
      <c r="AM111" s="685"/>
      <c r="AN111" s="691">
        <f>[1]⑥算定結果!$AD$11</f>
        <v>152.82596823911695</v>
      </c>
      <c r="AO111" s="691"/>
      <c r="AP111" s="692"/>
      <c r="AQ111" s="685"/>
      <c r="AR111" s="688">
        <f>[1]⑥算定結果!$AI$11</f>
        <v>100</v>
      </c>
      <c r="AS111" s="688"/>
      <c r="AT111" s="689"/>
      <c r="AU111" s="690"/>
      <c r="AV111" s="228"/>
      <c r="AW111" s="777"/>
      <c r="AX111" s="707"/>
      <c r="AY111" s="694" t="s">
        <v>17</v>
      </c>
      <c r="AZ111" s="694"/>
      <c r="BA111" s="694"/>
      <c r="BB111" s="694"/>
      <c r="BC111" s="694"/>
      <c r="BD111" s="695"/>
      <c r="BE111" s="698"/>
      <c r="BF111" s="691">
        <f>+[1]⑥算定結果!J24</f>
        <v>140.1462350664622</v>
      </c>
      <c r="BG111" s="691"/>
      <c r="BH111" s="692"/>
      <c r="BI111" s="685"/>
      <c r="BJ111" s="691">
        <f>+[1]⑥算定結果!O24</f>
        <v>0</v>
      </c>
      <c r="BK111" s="691"/>
      <c r="BL111" s="692"/>
      <c r="BM111" s="685"/>
      <c r="BN111" s="691">
        <f>+[1]⑥算定結果!T24</f>
        <v>0</v>
      </c>
      <c r="BO111" s="691"/>
      <c r="BP111" s="692"/>
      <c r="BQ111" s="685"/>
      <c r="BR111" s="691">
        <f>+[1]⑥算定結果!AD24</f>
        <v>140.1462350664622</v>
      </c>
      <c r="BS111" s="691"/>
      <c r="BT111" s="692"/>
      <c r="BU111" s="685"/>
      <c r="BV111" s="688">
        <f>+[1]⑥算定結果!AI24</f>
        <v>91.703155348039019</v>
      </c>
      <c r="BW111" s="688"/>
      <c r="BX111" s="689"/>
      <c r="BY111" s="690"/>
      <c r="BZ111" s="533"/>
      <c r="CA111" s="533"/>
      <c r="CB111" s="533"/>
      <c r="CC111" s="533"/>
      <c r="CD111" s="533"/>
      <c r="CE111" s="533"/>
      <c r="CF111" s="534"/>
    </row>
    <row r="112" spans="3:84">
      <c r="C112" s="528"/>
      <c r="R112" s="693"/>
      <c r="S112" s="774"/>
      <c r="T112" s="707"/>
      <c r="U112" s="696"/>
      <c r="V112" s="696"/>
      <c r="W112" s="696"/>
      <c r="X112" s="696"/>
      <c r="Y112" s="696"/>
      <c r="Z112" s="697"/>
      <c r="AA112" s="698"/>
      <c r="AB112" s="691"/>
      <c r="AC112" s="691"/>
      <c r="AD112" s="692"/>
      <c r="AE112" s="685"/>
      <c r="AF112" s="691"/>
      <c r="AG112" s="691"/>
      <c r="AH112" s="692"/>
      <c r="AI112" s="685"/>
      <c r="AJ112" s="691"/>
      <c r="AK112" s="691"/>
      <c r="AL112" s="692"/>
      <c r="AM112" s="685"/>
      <c r="AN112" s="691"/>
      <c r="AO112" s="691"/>
      <c r="AP112" s="692"/>
      <c r="AQ112" s="685"/>
      <c r="AR112" s="688"/>
      <c r="AS112" s="688"/>
      <c r="AT112" s="689"/>
      <c r="AU112" s="690"/>
      <c r="AV112" s="568"/>
      <c r="AW112" s="777"/>
      <c r="AX112" s="707"/>
      <c r="AY112" s="696"/>
      <c r="AZ112" s="696"/>
      <c r="BA112" s="696"/>
      <c r="BB112" s="696"/>
      <c r="BC112" s="696"/>
      <c r="BD112" s="697"/>
      <c r="BE112" s="698"/>
      <c r="BF112" s="691"/>
      <c r="BG112" s="691"/>
      <c r="BH112" s="692"/>
      <c r="BI112" s="685"/>
      <c r="BJ112" s="691"/>
      <c r="BK112" s="691"/>
      <c r="BL112" s="692"/>
      <c r="BM112" s="685"/>
      <c r="BN112" s="691"/>
      <c r="BO112" s="691"/>
      <c r="BP112" s="692"/>
      <c r="BQ112" s="685"/>
      <c r="BR112" s="691"/>
      <c r="BS112" s="691"/>
      <c r="BT112" s="692"/>
      <c r="BU112" s="685"/>
      <c r="BV112" s="688"/>
      <c r="BW112" s="688"/>
      <c r="BX112" s="689"/>
      <c r="BY112" s="690"/>
      <c r="BZ112" s="533"/>
      <c r="CA112" s="533"/>
      <c r="CB112" s="533"/>
      <c r="CC112" s="533"/>
      <c r="CD112" s="533"/>
      <c r="CE112" s="533"/>
      <c r="CF112" s="534"/>
    </row>
    <row r="113" spans="3:84">
      <c r="C113" s="528"/>
      <c r="R113" s="693"/>
      <c r="S113" s="774"/>
      <c r="T113" s="707"/>
      <c r="U113" s="694" t="s">
        <v>207</v>
      </c>
      <c r="V113" s="694"/>
      <c r="W113" s="694"/>
      <c r="X113" s="694"/>
      <c r="Y113" s="694"/>
      <c r="Z113" s="695"/>
      <c r="AA113" s="699"/>
      <c r="AB113" s="691">
        <f>[1]⑥算定結果!$J$12</f>
        <v>0</v>
      </c>
      <c r="AC113" s="691"/>
      <c r="AD113" s="692"/>
      <c r="AE113" s="685"/>
      <c r="AF113" s="691">
        <f>[1]⑥算定結果!$O$12</f>
        <v>154.6</v>
      </c>
      <c r="AG113" s="691"/>
      <c r="AH113" s="692"/>
      <c r="AI113" s="685"/>
      <c r="AJ113" s="691">
        <f>[1]⑥算定結果!$T$12</f>
        <v>17</v>
      </c>
      <c r="AK113" s="691"/>
      <c r="AL113" s="692"/>
      <c r="AM113" s="685"/>
      <c r="AN113" s="691">
        <f>[1]⑥算定結果!$AD$12</f>
        <v>171.6</v>
      </c>
      <c r="AO113" s="691"/>
      <c r="AP113" s="692"/>
      <c r="AQ113" s="685"/>
      <c r="AR113" s="688">
        <f>[1]⑥算定結果!$AI$12</f>
        <v>100</v>
      </c>
      <c r="AS113" s="688"/>
      <c r="AT113" s="689"/>
      <c r="AU113" s="690"/>
      <c r="AV113" s="533"/>
      <c r="AW113" s="777"/>
      <c r="AX113" s="707"/>
      <c r="AY113" s="694" t="s">
        <v>207</v>
      </c>
      <c r="AZ113" s="694"/>
      <c r="BA113" s="694"/>
      <c r="BB113" s="694"/>
      <c r="BC113" s="694"/>
      <c r="BD113" s="695"/>
      <c r="BE113" s="699"/>
      <c r="BF113" s="691">
        <f>+[1]⑥算定結果!J25</f>
        <v>5.0999999999999996</v>
      </c>
      <c r="BG113" s="691"/>
      <c r="BH113" s="692"/>
      <c r="BI113" s="685"/>
      <c r="BJ113" s="691">
        <f>+[1]⑥算定結果!O25</f>
        <v>154.6</v>
      </c>
      <c r="BK113" s="691"/>
      <c r="BL113" s="692"/>
      <c r="BM113" s="685"/>
      <c r="BN113" s="691">
        <f>+[1]⑥算定結果!T25</f>
        <v>17</v>
      </c>
      <c r="BO113" s="691"/>
      <c r="BP113" s="692"/>
      <c r="BQ113" s="685"/>
      <c r="BR113" s="691">
        <f>+[1]⑥算定結果!AD25</f>
        <v>176.7</v>
      </c>
      <c r="BS113" s="691"/>
      <c r="BT113" s="692"/>
      <c r="BU113" s="685"/>
      <c r="BV113" s="688">
        <f>+[1]⑥算定結果!AI25</f>
        <v>102.97202797202797</v>
      </c>
      <c r="BW113" s="688"/>
      <c r="BX113" s="689"/>
      <c r="BY113" s="690"/>
      <c r="BZ113" s="533"/>
      <c r="CA113" s="533"/>
      <c r="CB113" s="533"/>
      <c r="CC113" s="533"/>
      <c r="CD113" s="533"/>
      <c r="CE113" s="533"/>
      <c r="CF113" s="534"/>
    </row>
    <row r="114" spans="3:84">
      <c r="C114" s="528"/>
      <c r="R114" s="693"/>
      <c r="S114" s="774"/>
      <c r="T114" s="707"/>
      <c r="U114" s="696"/>
      <c r="V114" s="696"/>
      <c r="W114" s="696"/>
      <c r="X114" s="696"/>
      <c r="Y114" s="696"/>
      <c r="Z114" s="697"/>
      <c r="AA114" s="700"/>
      <c r="AB114" s="691"/>
      <c r="AC114" s="691"/>
      <c r="AD114" s="692"/>
      <c r="AE114" s="685"/>
      <c r="AF114" s="691"/>
      <c r="AG114" s="691"/>
      <c r="AH114" s="692"/>
      <c r="AI114" s="685"/>
      <c r="AJ114" s="691"/>
      <c r="AK114" s="691"/>
      <c r="AL114" s="692"/>
      <c r="AM114" s="685"/>
      <c r="AN114" s="691"/>
      <c r="AO114" s="691"/>
      <c r="AP114" s="692"/>
      <c r="AQ114" s="685"/>
      <c r="AR114" s="688"/>
      <c r="AS114" s="688"/>
      <c r="AT114" s="689"/>
      <c r="AU114" s="690"/>
      <c r="AV114" s="533"/>
      <c r="AW114" s="777"/>
      <c r="AX114" s="707"/>
      <c r="AY114" s="696"/>
      <c r="AZ114" s="696"/>
      <c r="BA114" s="696"/>
      <c r="BB114" s="696"/>
      <c r="BC114" s="696"/>
      <c r="BD114" s="697"/>
      <c r="BE114" s="700"/>
      <c r="BF114" s="691"/>
      <c r="BG114" s="691"/>
      <c r="BH114" s="692"/>
      <c r="BI114" s="685"/>
      <c r="BJ114" s="691"/>
      <c r="BK114" s="691"/>
      <c r="BL114" s="692"/>
      <c r="BM114" s="685"/>
      <c r="BN114" s="691"/>
      <c r="BO114" s="691"/>
      <c r="BP114" s="692"/>
      <c r="BQ114" s="685"/>
      <c r="BR114" s="691"/>
      <c r="BS114" s="691"/>
      <c r="BT114" s="692"/>
      <c r="BU114" s="685"/>
      <c r="BV114" s="688"/>
      <c r="BW114" s="688"/>
      <c r="BX114" s="689"/>
      <c r="BY114" s="690"/>
      <c r="BZ114" s="533"/>
      <c r="CA114" s="533"/>
      <c r="CB114" s="533"/>
      <c r="CC114" s="533"/>
      <c r="CD114" s="533"/>
      <c r="CE114" s="533"/>
      <c r="CF114" s="534"/>
    </row>
    <row r="115" spans="3:84">
      <c r="C115" s="528"/>
      <c r="R115" s="693"/>
      <c r="S115" s="774"/>
      <c r="T115" s="707"/>
      <c r="U115" s="694" t="s">
        <v>123</v>
      </c>
      <c r="V115" s="694"/>
      <c r="W115" s="694"/>
      <c r="X115" s="694"/>
      <c r="Y115" s="694"/>
      <c r="Z115" s="695"/>
      <c r="AA115" s="698"/>
      <c r="AB115" s="691">
        <f>[1]⑥算定結果!$J$13</f>
        <v>24.4</v>
      </c>
      <c r="AC115" s="691"/>
      <c r="AD115" s="692"/>
      <c r="AE115" s="685"/>
      <c r="AF115" s="686">
        <f>[1]⑥算定結果!$O$13</f>
        <v>108.8</v>
      </c>
      <c r="AG115" s="686"/>
      <c r="AH115" s="687"/>
      <c r="AI115" s="685"/>
      <c r="AJ115" s="691">
        <f>[1]⑥算定結果!$T$13</f>
        <v>53.1</v>
      </c>
      <c r="AK115" s="691"/>
      <c r="AL115" s="692"/>
      <c r="AM115" s="685"/>
      <c r="AN115" s="691">
        <f>[1]⑥算定結果!$AD$13</f>
        <v>186.29999999999998</v>
      </c>
      <c r="AO115" s="691"/>
      <c r="AP115" s="692"/>
      <c r="AQ115" s="685"/>
      <c r="AR115" s="688">
        <f>[1]⑥算定結果!$AI$13</f>
        <v>100</v>
      </c>
      <c r="AS115" s="688"/>
      <c r="AT115" s="689"/>
      <c r="AU115" s="690"/>
      <c r="AV115" s="533"/>
      <c r="AW115" s="777"/>
      <c r="AX115" s="707"/>
      <c r="AY115" s="694" t="s">
        <v>123</v>
      </c>
      <c r="AZ115" s="694"/>
      <c r="BA115" s="694"/>
      <c r="BB115" s="694"/>
      <c r="BC115" s="694"/>
      <c r="BD115" s="695"/>
      <c r="BE115" s="698"/>
      <c r="BF115" s="691">
        <f>+[1]⑥算定結果!J26</f>
        <v>0</v>
      </c>
      <c r="BG115" s="691"/>
      <c r="BH115" s="692"/>
      <c r="BI115" s="685"/>
      <c r="BJ115" s="686">
        <f>+[1]⑥算定結果!O26</f>
        <v>0</v>
      </c>
      <c r="BK115" s="686"/>
      <c r="BL115" s="687"/>
      <c r="BM115" s="685"/>
      <c r="BN115" s="691">
        <f>+[1]⑥算定結果!T26</f>
        <v>0</v>
      </c>
      <c r="BO115" s="691"/>
      <c r="BP115" s="692"/>
      <c r="BQ115" s="685"/>
      <c r="BR115" s="691">
        <f>+[1]⑥算定結果!AD26</f>
        <v>0</v>
      </c>
      <c r="BS115" s="691"/>
      <c r="BT115" s="692"/>
      <c r="BU115" s="685"/>
      <c r="BV115" s="688">
        <f>+[1]⑥算定結果!AI26</f>
        <v>0</v>
      </c>
      <c r="BW115" s="688"/>
      <c r="BX115" s="689"/>
      <c r="BY115" s="690"/>
      <c r="BZ115" s="533"/>
      <c r="CA115" s="533"/>
      <c r="CB115" s="533"/>
      <c r="CC115" s="533"/>
      <c r="CD115" s="533"/>
      <c r="CE115" s="533"/>
      <c r="CF115" s="534"/>
    </row>
    <row r="116" spans="3:84">
      <c r="C116" s="528"/>
      <c r="R116" s="569"/>
      <c r="S116" s="774"/>
      <c r="T116" s="707"/>
      <c r="U116" s="696"/>
      <c r="V116" s="696"/>
      <c r="W116" s="696"/>
      <c r="X116" s="696"/>
      <c r="Y116" s="696"/>
      <c r="Z116" s="697"/>
      <c r="AA116" s="698"/>
      <c r="AB116" s="691"/>
      <c r="AC116" s="691"/>
      <c r="AD116" s="692"/>
      <c r="AE116" s="685"/>
      <c r="AF116" s="686"/>
      <c r="AG116" s="686"/>
      <c r="AH116" s="687"/>
      <c r="AI116" s="685"/>
      <c r="AJ116" s="691"/>
      <c r="AK116" s="691"/>
      <c r="AL116" s="692"/>
      <c r="AM116" s="685"/>
      <c r="AN116" s="691"/>
      <c r="AO116" s="691"/>
      <c r="AP116" s="692"/>
      <c r="AQ116" s="685"/>
      <c r="AR116" s="688"/>
      <c r="AS116" s="688"/>
      <c r="AT116" s="689"/>
      <c r="AU116" s="690"/>
      <c r="AV116" s="533"/>
      <c r="AW116" s="777"/>
      <c r="AX116" s="707"/>
      <c r="AY116" s="696"/>
      <c r="AZ116" s="696"/>
      <c r="BA116" s="696"/>
      <c r="BB116" s="696"/>
      <c r="BC116" s="696"/>
      <c r="BD116" s="697"/>
      <c r="BE116" s="698"/>
      <c r="BF116" s="691"/>
      <c r="BG116" s="691"/>
      <c r="BH116" s="692"/>
      <c r="BI116" s="685"/>
      <c r="BJ116" s="686"/>
      <c r="BK116" s="686"/>
      <c r="BL116" s="687"/>
      <c r="BM116" s="685"/>
      <c r="BN116" s="691"/>
      <c r="BO116" s="691"/>
      <c r="BP116" s="692"/>
      <c r="BQ116" s="685"/>
      <c r="BR116" s="691"/>
      <c r="BS116" s="691"/>
      <c r="BT116" s="692"/>
      <c r="BU116" s="685"/>
      <c r="BV116" s="688"/>
      <c r="BW116" s="688"/>
      <c r="BX116" s="689"/>
      <c r="BY116" s="690"/>
      <c r="BZ116" s="533"/>
      <c r="CA116" s="533"/>
      <c r="CB116" s="533"/>
      <c r="CC116" s="533"/>
      <c r="CD116" s="533"/>
      <c r="CE116" s="533"/>
      <c r="CF116" s="534"/>
    </row>
    <row r="117" spans="3:84">
      <c r="C117" s="528"/>
      <c r="R117" s="569"/>
      <c r="S117" s="774"/>
      <c r="T117" s="707"/>
      <c r="U117" s="667" t="s">
        <v>349</v>
      </c>
      <c r="V117" s="668"/>
      <c r="W117" s="668"/>
      <c r="X117" s="671" t="s">
        <v>347</v>
      </c>
      <c r="Y117" s="672"/>
      <c r="Z117" s="673"/>
      <c r="AA117" s="677"/>
      <c r="AB117" s="678">
        <f>[1]⑥算定結果!$J$14</f>
        <v>116.11619235762871</v>
      </c>
      <c r="AC117" s="678"/>
      <c r="AD117" s="679"/>
      <c r="AE117" s="680"/>
      <c r="AF117" s="678">
        <f>[1]⑥算定結果!$O$14</f>
        <v>448.20060482400908</v>
      </c>
      <c r="AG117" s="678"/>
      <c r="AH117" s="679"/>
      <c r="AI117" s="680"/>
      <c r="AJ117" s="678">
        <f>[1]⑥算定結果!$T$14</f>
        <v>70.099999999999994</v>
      </c>
      <c r="AK117" s="678"/>
      <c r="AL117" s="679"/>
      <c r="AM117" s="680"/>
      <c r="AN117" s="678">
        <f>[1]⑥算定結果!$AD$14</f>
        <v>634.41679718163778</v>
      </c>
      <c r="AO117" s="678"/>
      <c r="AP117" s="679"/>
      <c r="AQ117" s="680"/>
      <c r="AR117" s="682">
        <f>[1]⑥算定結果!$AI$14</f>
        <v>100</v>
      </c>
      <c r="AS117" s="682"/>
      <c r="AT117" s="683"/>
      <c r="AU117" s="684"/>
      <c r="AV117" s="533"/>
      <c r="AW117" s="777"/>
      <c r="AX117" s="707"/>
      <c r="AY117" s="667" t="s">
        <v>349</v>
      </c>
      <c r="AZ117" s="668"/>
      <c r="BA117" s="668"/>
      <c r="BB117" s="671" t="s">
        <v>347</v>
      </c>
      <c r="BC117" s="672"/>
      <c r="BD117" s="673"/>
      <c r="BE117" s="677"/>
      <c r="BF117" s="678">
        <f>+[1]⑥算定結果!J27</f>
        <v>328.34735543903008</v>
      </c>
      <c r="BG117" s="678"/>
      <c r="BH117" s="679"/>
      <c r="BI117" s="680"/>
      <c r="BJ117" s="678">
        <f>+[1]⑥算定結果!O27</f>
        <v>154.6</v>
      </c>
      <c r="BK117" s="678"/>
      <c r="BL117" s="679"/>
      <c r="BM117" s="680"/>
      <c r="BN117" s="678">
        <f>+[1]⑥算定結果!T27</f>
        <v>-25.328851092920708</v>
      </c>
      <c r="BO117" s="678"/>
      <c r="BP117" s="679"/>
      <c r="BQ117" s="680"/>
      <c r="BR117" s="678">
        <f>+[1]⑥算定結果!AD27</f>
        <v>457.61850434610932</v>
      </c>
      <c r="BS117" s="678"/>
      <c r="BT117" s="679"/>
      <c r="BU117" s="680"/>
      <c r="BV117" s="682">
        <f>+[1]⑥算定結果!AI27</f>
        <v>72.132154504586694</v>
      </c>
      <c r="BW117" s="682"/>
      <c r="BX117" s="683"/>
      <c r="BY117" s="684"/>
      <c r="BZ117" s="533"/>
      <c r="CA117" s="533"/>
      <c r="CB117" s="533"/>
      <c r="CC117" s="533"/>
      <c r="CD117" s="533"/>
      <c r="CE117" s="533"/>
      <c r="CF117" s="534"/>
    </row>
    <row r="118" spans="3:84">
      <c r="C118" s="528"/>
      <c r="R118" s="569"/>
      <c r="S118" s="774"/>
      <c r="T118" s="707"/>
      <c r="U118" s="667"/>
      <c r="V118" s="668"/>
      <c r="W118" s="668"/>
      <c r="X118" s="674"/>
      <c r="Y118" s="675"/>
      <c r="Z118" s="676"/>
      <c r="AA118" s="677"/>
      <c r="AB118" s="678"/>
      <c r="AC118" s="678"/>
      <c r="AD118" s="679"/>
      <c r="AE118" s="681"/>
      <c r="AF118" s="678"/>
      <c r="AG118" s="678"/>
      <c r="AH118" s="679"/>
      <c r="AI118" s="681"/>
      <c r="AJ118" s="678"/>
      <c r="AK118" s="678"/>
      <c r="AL118" s="679"/>
      <c r="AM118" s="681"/>
      <c r="AN118" s="678"/>
      <c r="AO118" s="678"/>
      <c r="AP118" s="679"/>
      <c r="AQ118" s="681"/>
      <c r="AR118" s="682"/>
      <c r="AS118" s="682"/>
      <c r="AT118" s="683"/>
      <c r="AU118" s="684"/>
      <c r="AV118" s="533"/>
      <c r="AW118" s="777"/>
      <c r="AX118" s="707"/>
      <c r="AY118" s="667"/>
      <c r="AZ118" s="668"/>
      <c r="BA118" s="668"/>
      <c r="BB118" s="674"/>
      <c r="BC118" s="675"/>
      <c r="BD118" s="676"/>
      <c r="BE118" s="677"/>
      <c r="BF118" s="678"/>
      <c r="BG118" s="678"/>
      <c r="BH118" s="679"/>
      <c r="BI118" s="681"/>
      <c r="BJ118" s="678"/>
      <c r="BK118" s="678"/>
      <c r="BL118" s="679"/>
      <c r="BM118" s="681"/>
      <c r="BN118" s="678"/>
      <c r="BO118" s="678"/>
      <c r="BP118" s="679"/>
      <c r="BQ118" s="681"/>
      <c r="BR118" s="678"/>
      <c r="BS118" s="678"/>
      <c r="BT118" s="679"/>
      <c r="BU118" s="681"/>
      <c r="BV118" s="682"/>
      <c r="BW118" s="682"/>
      <c r="BX118" s="683"/>
      <c r="BY118" s="684"/>
      <c r="BZ118" s="533"/>
      <c r="CA118" s="533"/>
      <c r="CB118" s="533"/>
      <c r="CC118" s="533"/>
      <c r="CD118" s="533"/>
      <c r="CE118" s="533"/>
      <c r="CF118" s="534"/>
    </row>
    <row r="119" spans="3:84">
      <c r="C119" s="528"/>
      <c r="R119" s="569"/>
      <c r="S119" s="774"/>
      <c r="T119" s="707"/>
      <c r="U119" s="667"/>
      <c r="V119" s="668"/>
      <c r="W119" s="668"/>
      <c r="X119" s="659" t="s">
        <v>348</v>
      </c>
      <c r="Y119" s="660"/>
      <c r="Z119" s="661"/>
      <c r="AA119" s="665"/>
      <c r="AB119" s="647">
        <f>[1]⑥算定結果!$J$15</f>
        <v>85.839889092447237</v>
      </c>
      <c r="AC119" s="647"/>
      <c r="AD119" s="648"/>
      <c r="AE119" s="651"/>
      <c r="AF119" s="647">
        <f>[1]⑥算定結果!$O$15</f>
        <v>448.20060482400908</v>
      </c>
      <c r="AG119" s="647"/>
      <c r="AH119" s="648"/>
      <c r="AI119" s="651"/>
      <c r="AJ119" s="647">
        <f>[1]⑥算定結果!$T$15</f>
        <v>70.099999999999994</v>
      </c>
      <c r="AK119" s="647"/>
      <c r="AL119" s="648"/>
      <c r="AM119" s="651"/>
      <c r="AN119" s="647">
        <f>[1]⑥算定結果!$AD$15</f>
        <v>604.14049391645631</v>
      </c>
      <c r="AO119" s="647"/>
      <c r="AP119" s="648"/>
      <c r="AQ119" s="651"/>
      <c r="AR119" s="653">
        <f>[1]⑥算定結果!$AI$15</f>
        <v>100</v>
      </c>
      <c r="AS119" s="653"/>
      <c r="AT119" s="654"/>
      <c r="AU119" s="657"/>
      <c r="AV119" s="533"/>
      <c r="AW119" s="777"/>
      <c r="AX119" s="707"/>
      <c r="AY119" s="667"/>
      <c r="AZ119" s="668"/>
      <c r="BA119" s="668"/>
      <c r="BB119" s="659" t="s">
        <v>348</v>
      </c>
      <c r="BC119" s="660"/>
      <c r="BD119" s="661"/>
      <c r="BE119" s="665"/>
      <c r="BF119" s="647">
        <f>+[1]⑥算定結果!J28</f>
        <v>227.64173923411775</v>
      </c>
      <c r="BG119" s="647"/>
      <c r="BH119" s="648"/>
      <c r="BI119" s="651"/>
      <c r="BJ119" s="647">
        <f>+[1]⑥算定結果!O28</f>
        <v>154.6</v>
      </c>
      <c r="BK119" s="647"/>
      <c r="BL119" s="648"/>
      <c r="BM119" s="651"/>
      <c r="BN119" s="647">
        <f>+[1]⑥算定結果!T28</f>
        <v>-25.328851092920708</v>
      </c>
      <c r="BO119" s="647"/>
      <c r="BP119" s="648"/>
      <c r="BQ119" s="651"/>
      <c r="BR119" s="647">
        <f>+[1]⑥算定結果!AD28</f>
        <v>356.91288814119702</v>
      </c>
      <c r="BS119" s="647"/>
      <c r="BT119" s="648"/>
      <c r="BU119" s="651"/>
      <c r="BV119" s="653">
        <f>+[1]⑥算定結果!AI28</f>
        <v>59.077795932439649</v>
      </c>
      <c r="BW119" s="653"/>
      <c r="BX119" s="654"/>
      <c r="BY119" s="657"/>
      <c r="BZ119" s="533"/>
      <c r="CA119" s="533"/>
      <c r="CB119" s="533"/>
      <c r="CC119" s="533"/>
      <c r="CD119" s="533"/>
      <c r="CE119" s="533"/>
      <c r="CF119" s="534"/>
    </row>
    <row r="120" spans="3:84" ht="15" thickBot="1">
      <c r="C120" s="528"/>
      <c r="R120" s="569"/>
      <c r="S120" s="775"/>
      <c r="T120" s="708"/>
      <c r="U120" s="669"/>
      <c r="V120" s="670"/>
      <c r="W120" s="670"/>
      <c r="X120" s="662"/>
      <c r="Y120" s="663"/>
      <c r="Z120" s="664"/>
      <c r="AA120" s="666"/>
      <c r="AB120" s="649"/>
      <c r="AC120" s="649"/>
      <c r="AD120" s="650"/>
      <c r="AE120" s="652"/>
      <c r="AF120" s="649"/>
      <c r="AG120" s="649"/>
      <c r="AH120" s="650"/>
      <c r="AI120" s="652"/>
      <c r="AJ120" s="649"/>
      <c r="AK120" s="649"/>
      <c r="AL120" s="650"/>
      <c r="AM120" s="652"/>
      <c r="AN120" s="649"/>
      <c r="AO120" s="649"/>
      <c r="AP120" s="650"/>
      <c r="AQ120" s="652"/>
      <c r="AR120" s="655"/>
      <c r="AS120" s="655"/>
      <c r="AT120" s="656"/>
      <c r="AU120" s="658"/>
      <c r="AV120" s="533"/>
      <c r="AW120" s="778"/>
      <c r="AX120" s="708"/>
      <c r="AY120" s="669"/>
      <c r="AZ120" s="670"/>
      <c r="BA120" s="670"/>
      <c r="BB120" s="662"/>
      <c r="BC120" s="663"/>
      <c r="BD120" s="664"/>
      <c r="BE120" s="666"/>
      <c r="BF120" s="649"/>
      <c r="BG120" s="649"/>
      <c r="BH120" s="650"/>
      <c r="BI120" s="652"/>
      <c r="BJ120" s="649"/>
      <c r="BK120" s="649"/>
      <c r="BL120" s="650"/>
      <c r="BM120" s="652"/>
      <c r="BN120" s="649"/>
      <c r="BO120" s="649"/>
      <c r="BP120" s="650"/>
      <c r="BQ120" s="652"/>
      <c r="BR120" s="649"/>
      <c r="BS120" s="649"/>
      <c r="BT120" s="650"/>
      <c r="BU120" s="652"/>
      <c r="BV120" s="655"/>
      <c r="BW120" s="655"/>
      <c r="BX120" s="656"/>
      <c r="BY120" s="658"/>
      <c r="BZ120" s="533"/>
      <c r="CA120" s="533"/>
      <c r="CB120" s="533"/>
      <c r="CC120" s="533"/>
      <c r="CD120" s="533"/>
      <c r="CE120" s="533"/>
      <c r="CF120" s="534"/>
    </row>
    <row r="121" spans="3:84" ht="15" thickBot="1">
      <c r="C121" s="528"/>
      <c r="D121" s="526"/>
      <c r="R121" s="570"/>
      <c r="S121" s="557"/>
      <c r="T121" s="557"/>
      <c r="U121" s="557"/>
      <c r="V121" s="557"/>
      <c r="W121" s="557"/>
      <c r="X121" s="557"/>
      <c r="Y121" s="557"/>
      <c r="Z121" s="557"/>
      <c r="AA121" s="557"/>
      <c r="AB121" s="557"/>
      <c r="AC121" s="557"/>
      <c r="AD121" s="557"/>
      <c r="AE121" s="557"/>
      <c r="AF121" s="557"/>
      <c r="AG121" s="557"/>
      <c r="AH121" s="557"/>
      <c r="AI121" s="557"/>
      <c r="AJ121" s="557"/>
      <c r="AK121" s="557"/>
      <c r="AL121" s="557"/>
      <c r="AM121" s="557"/>
      <c r="AN121" s="557"/>
      <c r="AO121" s="557"/>
      <c r="AP121" s="557"/>
      <c r="AQ121" s="557"/>
      <c r="AR121" s="557"/>
      <c r="AS121" s="557"/>
      <c r="AT121" s="557"/>
      <c r="AU121" s="557"/>
      <c r="AV121" s="557"/>
      <c r="AW121" s="557"/>
      <c r="AX121" s="557"/>
      <c r="AY121" s="557"/>
      <c r="AZ121" s="557"/>
      <c r="BA121" s="557"/>
      <c r="BB121" s="557"/>
      <c r="BC121" s="557"/>
      <c r="BD121" s="557"/>
      <c r="BE121" s="557"/>
      <c r="BF121" s="557"/>
      <c r="BG121" s="557"/>
      <c r="BH121" s="557"/>
      <c r="BI121" s="557"/>
      <c r="BJ121" s="557"/>
      <c r="BK121" s="557"/>
      <c r="BL121" s="557"/>
      <c r="BM121" s="557"/>
      <c r="BN121" s="557"/>
      <c r="BO121" s="557"/>
      <c r="BP121" s="557"/>
      <c r="BQ121" s="557"/>
      <c r="BR121" s="557"/>
      <c r="BS121" s="557"/>
      <c r="BT121" s="557"/>
      <c r="BU121" s="557"/>
      <c r="BV121" s="557"/>
      <c r="BW121" s="557"/>
      <c r="BX121" s="557"/>
      <c r="BY121" s="557"/>
      <c r="BZ121" s="557"/>
      <c r="CA121" s="557"/>
      <c r="CB121" s="557"/>
      <c r="CC121" s="557"/>
      <c r="CD121" s="557"/>
      <c r="CE121" s="557"/>
      <c r="CF121" s="558"/>
    </row>
    <row r="122" spans="3:84">
      <c r="C122" s="528"/>
      <c r="D122" s="526"/>
    </row>
    <row r="123" spans="3:84">
      <c r="C123" s="528"/>
      <c r="D123" s="526"/>
    </row>
  </sheetData>
  <sheetProtection selectLockedCells="1"/>
  <mergeCells count="473">
    <mergeCell ref="S4:AX6"/>
    <mergeCell ref="S8:X10"/>
    <mergeCell ref="Z8:AF10"/>
    <mergeCell ref="C11:C12"/>
    <mergeCell ref="S12:CB13"/>
    <mergeCell ref="C13:C14"/>
    <mergeCell ref="S14:Y15"/>
    <mergeCell ref="Z14:AB15"/>
    <mergeCell ref="AC14:AL14"/>
    <mergeCell ref="AM14:BP14"/>
    <mergeCell ref="BQ14:CE15"/>
    <mergeCell ref="C15:C16"/>
    <mergeCell ref="AC15:AL15"/>
    <mergeCell ref="AM15:AQ15"/>
    <mergeCell ref="AR15:AV15"/>
    <mergeCell ref="AW15:BA15"/>
    <mergeCell ref="BB15:BF15"/>
    <mergeCell ref="BG15:BK15"/>
    <mergeCell ref="BL15:BP15"/>
    <mergeCell ref="S16:S23"/>
    <mergeCell ref="BB16:BF17"/>
    <mergeCell ref="BG16:BK17"/>
    <mergeCell ref="BL16:BP17"/>
    <mergeCell ref="BQ16:CE23"/>
    <mergeCell ref="C17:C18"/>
    <mergeCell ref="T18:Y19"/>
    <mergeCell ref="Z18:AB19"/>
    <mergeCell ref="AC18:AL19"/>
    <mergeCell ref="AM18:AQ19"/>
    <mergeCell ref="AR18:AV19"/>
    <mergeCell ref="T16:Y17"/>
    <mergeCell ref="Z16:AB17"/>
    <mergeCell ref="AC16:AL17"/>
    <mergeCell ref="AM16:AQ17"/>
    <mergeCell ref="AR16:AV17"/>
    <mergeCell ref="AW16:BA17"/>
    <mergeCell ref="AW18:BA19"/>
    <mergeCell ref="BB18:BF19"/>
    <mergeCell ref="BG18:BK19"/>
    <mergeCell ref="BL18:BP19"/>
    <mergeCell ref="C19:C20"/>
    <mergeCell ref="T20:Y21"/>
    <mergeCell ref="Z20:AB21"/>
    <mergeCell ref="AC20:AG21"/>
    <mergeCell ref="AH20:AL21"/>
    <mergeCell ref="AM20:AQ21"/>
    <mergeCell ref="AR20:AV21"/>
    <mergeCell ref="AW20:BA21"/>
    <mergeCell ref="BB20:BF21"/>
    <mergeCell ref="BG20:BK21"/>
    <mergeCell ref="BL20:BP21"/>
    <mergeCell ref="C21:C22"/>
    <mergeCell ref="T22:Y23"/>
    <mergeCell ref="Z22:AB23"/>
    <mergeCell ref="AC22:AG23"/>
    <mergeCell ref="AH22:AL23"/>
    <mergeCell ref="C23:C24"/>
    <mergeCell ref="AM22:AQ23"/>
    <mergeCell ref="AR22:AV23"/>
    <mergeCell ref="BG22:BK23"/>
    <mergeCell ref="BL22:BP23"/>
    <mergeCell ref="AU27:AY27"/>
    <mergeCell ref="AZ27:BD27"/>
    <mergeCell ref="BE27:BQ27"/>
    <mergeCell ref="V28:Z28"/>
    <mergeCell ref="AA28:AE28"/>
    <mergeCell ref="AF28:AJ28"/>
    <mergeCell ref="AK28:AO28"/>
    <mergeCell ref="AP28:AT28"/>
    <mergeCell ref="AU28:AY28"/>
    <mergeCell ref="AZ28:BD28"/>
    <mergeCell ref="S25:BN26"/>
    <mergeCell ref="S27:U29"/>
    <mergeCell ref="V27:Z27"/>
    <mergeCell ref="AA27:AE27"/>
    <mergeCell ref="AF27:AJ27"/>
    <mergeCell ref="AK27:AO27"/>
    <mergeCell ref="AP27:AT27"/>
    <mergeCell ref="C29:C30"/>
    <mergeCell ref="V29:Z29"/>
    <mergeCell ref="AA29:AE29"/>
    <mergeCell ref="AF29:AJ29"/>
    <mergeCell ref="AK29:AO29"/>
    <mergeCell ref="AP29:AT29"/>
    <mergeCell ref="AU29:AY29"/>
    <mergeCell ref="AZ29:BD29"/>
    <mergeCell ref="AW22:BA23"/>
    <mergeCell ref="BB22:BF23"/>
    <mergeCell ref="C25:C26"/>
    <mergeCell ref="C27:C28"/>
    <mergeCell ref="AU36:AY37"/>
    <mergeCell ref="AZ36:BD37"/>
    <mergeCell ref="C37:C38"/>
    <mergeCell ref="S38:U39"/>
    <mergeCell ref="V38:Z39"/>
    <mergeCell ref="AA38:AE39"/>
    <mergeCell ref="AF38:AJ39"/>
    <mergeCell ref="AK38:AO39"/>
    <mergeCell ref="AZ30:BD31"/>
    <mergeCell ref="C31:C32"/>
    <mergeCell ref="S32:U33"/>
    <mergeCell ref="V32:Z33"/>
    <mergeCell ref="AA32:AE33"/>
    <mergeCell ref="AF32:AJ33"/>
    <mergeCell ref="AK32:AO33"/>
    <mergeCell ref="AP32:AT33"/>
    <mergeCell ref="AU32:AY33"/>
    <mergeCell ref="AZ32:BD33"/>
    <mergeCell ref="V30:Z31"/>
    <mergeCell ref="AA30:AE31"/>
    <mergeCell ref="AF30:AJ31"/>
    <mergeCell ref="AK30:AO31"/>
    <mergeCell ref="AP30:AT31"/>
    <mergeCell ref="AU30:AY31"/>
    <mergeCell ref="AF36:AJ37"/>
    <mergeCell ref="AK36:AO37"/>
    <mergeCell ref="AP36:AT37"/>
    <mergeCell ref="C33:C34"/>
    <mergeCell ref="S34:U35"/>
    <mergeCell ref="V34:Z35"/>
    <mergeCell ref="AA34:AE35"/>
    <mergeCell ref="AF34:AJ35"/>
    <mergeCell ref="AK34:AO35"/>
    <mergeCell ref="AP38:AT39"/>
    <mergeCell ref="AU38:AY39"/>
    <mergeCell ref="AZ38:BD39"/>
    <mergeCell ref="C39:C40"/>
    <mergeCell ref="C41:C42"/>
    <mergeCell ref="S41:BK42"/>
    <mergeCell ref="C43:C44"/>
    <mergeCell ref="S43:Y44"/>
    <mergeCell ref="Z43:AB44"/>
    <mergeCell ref="AC43:AV43"/>
    <mergeCell ref="AW43:BQ44"/>
    <mergeCell ref="AC44:AG44"/>
    <mergeCell ref="BE28:BQ39"/>
    <mergeCell ref="S30:U31"/>
    <mergeCell ref="AH44:AL44"/>
    <mergeCell ref="AM44:AQ44"/>
    <mergeCell ref="AR44:AV44"/>
    <mergeCell ref="AP34:AT35"/>
    <mergeCell ref="AU34:AY35"/>
    <mergeCell ref="AZ34:BD35"/>
    <mergeCell ref="C35:C36"/>
    <mergeCell ref="S36:U37"/>
    <mergeCell ref="V36:Z37"/>
    <mergeCell ref="AA36:AE37"/>
    <mergeCell ref="AR49:AV50"/>
    <mergeCell ref="AR45:AV46"/>
    <mergeCell ref="AW45:BQ50"/>
    <mergeCell ref="C47:C48"/>
    <mergeCell ref="T47:Y48"/>
    <mergeCell ref="Z47:AB48"/>
    <mergeCell ref="AC47:AG48"/>
    <mergeCell ref="AH47:AL48"/>
    <mergeCell ref="AM47:AQ48"/>
    <mergeCell ref="AR47:AV48"/>
    <mergeCell ref="C49:C50"/>
    <mergeCell ref="C45:C46"/>
    <mergeCell ref="S45:S50"/>
    <mergeCell ref="T45:Y46"/>
    <mergeCell ref="Z45:AB46"/>
    <mergeCell ref="AC45:AG46"/>
    <mergeCell ref="AH45:AL46"/>
    <mergeCell ref="AM45:AQ46"/>
    <mergeCell ref="T49:Y50"/>
    <mergeCell ref="Z49:AB50"/>
    <mergeCell ref="AC49:AG50"/>
    <mergeCell ref="AH49:AL50"/>
    <mergeCell ref="AM49:AQ50"/>
    <mergeCell ref="C52:C53"/>
    <mergeCell ref="S52:AJ53"/>
    <mergeCell ref="AQ52:BB53"/>
    <mergeCell ref="S54:W55"/>
    <mergeCell ref="X54:Z55"/>
    <mergeCell ref="AA54:AC55"/>
    <mergeCell ref="AD54:AM55"/>
    <mergeCell ref="AQ54:AS55"/>
    <mergeCell ref="AT54:AV55"/>
    <mergeCell ref="AW54:AY55"/>
    <mergeCell ref="AZ54:BB55"/>
    <mergeCell ref="C55:C56"/>
    <mergeCell ref="S56:W57"/>
    <mergeCell ref="X56:Z57"/>
    <mergeCell ref="AA56:AC57"/>
    <mergeCell ref="AD56:AM59"/>
    <mergeCell ref="AQ56:AS57"/>
    <mergeCell ref="AT56:AV57"/>
    <mergeCell ref="AW56:AY57"/>
    <mergeCell ref="AZ56:BB57"/>
    <mergeCell ref="C59:C60"/>
    <mergeCell ref="AQ60:AS61"/>
    <mergeCell ref="AT60:AV61"/>
    <mergeCell ref="AW60:AY61"/>
    <mergeCell ref="C61:C62"/>
    <mergeCell ref="C57:C58"/>
    <mergeCell ref="S58:W59"/>
    <mergeCell ref="X58:Z59"/>
    <mergeCell ref="AA58:AC59"/>
    <mergeCell ref="AQ58:AS59"/>
    <mergeCell ref="AT58:AV59"/>
    <mergeCell ref="R65:R66"/>
    <mergeCell ref="S65:AX67"/>
    <mergeCell ref="S68:U71"/>
    <mergeCell ref="V68:AQ71"/>
    <mergeCell ref="AR68:AT71"/>
    <mergeCell ref="AU68:BP71"/>
    <mergeCell ref="R69:R70"/>
    <mergeCell ref="R71:R72"/>
    <mergeCell ref="AW58:AY59"/>
    <mergeCell ref="AZ58:BB59"/>
    <mergeCell ref="R85:R86"/>
    <mergeCell ref="AZ60:BB61"/>
    <mergeCell ref="R87:R88"/>
    <mergeCell ref="R89:R90"/>
    <mergeCell ref="R91:R92"/>
    <mergeCell ref="R97:R98"/>
    <mergeCell ref="S97:AU98"/>
    <mergeCell ref="R73:R74"/>
    <mergeCell ref="R75:R76"/>
    <mergeCell ref="R77:R78"/>
    <mergeCell ref="R79:R80"/>
    <mergeCell ref="R81:R82"/>
    <mergeCell ref="R83:R84"/>
    <mergeCell ref="AW97:BY98"/>
    <mergeCell ref="S99:AU100"/>
    <mergeCell ref="AW99:BY100"/>
    <mergeCell ref="R100:R101"/>
    <mergeCell ref="S101:S120"/>
    <mergeCell ref="T101:Z102"/>
    <mergeCell ref="AA101:AA102"/>
    <mergeCell ref="AB101:AD102"/>
    <mergeCell ref="AF101:AH102"/>
    <mergeCell ref="AJ101:AL102"/>
    <mergeCell ref="BJ101:BL102"/>
    <mergeCell ref="BN101:BP102"/>
    <mergeCell ref="BR101:BT102"/>
    <mergeCell ref="BV101:BX102"/>
    <mergeCell ref="R102:R103"/>
    <mergeCell ref="T103:T106"/>
    <mergeCell ref="U103:W106"/>
    <mergeCell ref="X103:Z104"/>
    <mergeCell ref="AA103:AA104"/>
    <mergeCell ref="AB103:AD104"/>
    <mergeCell ref="AN101:AP102"/>
    <mergeCell ref="AR101:AT102"/>
    <mergeCell ref="AW101:AW120"/>
    <mergeCell ref="AX101:BD102"/>
    <mergeCell ref="BE101:BE102"/>
    <mergeCell ref="BF101:BH102"/>
    <mergeCell ref="AQ103:AQ104"/>
    <mergeCell ref="AR103:AT104"/>
    <mergeCell ref="AU103:AU104"/>
    <mergeCell ref="AX103:AX106"/>
    <mergeCell ref="BF105:BH106"/>
    <mergeCell ref="BI105:BI106"/>
    <mergeCell ref="BJ105:BL106"/>
    <mergeCell ref="AN103:AP104"/>
    <mergeCell ref="BB105:BD106"/>
    <mergeCell ref="BE105:BE106"/>
    <mergeCell ref="BY103:BY104"/>
    <mergeCell ref="BM103:BM104"/>
    <mergeCell ref="BN103:BP104"/>
    <mergeCell ref="BQ103:BQ104"/>
    <mergeCell ref="BR103:BT104"/>
    <mergeCell ref="BU103:BU104"/>
    <mergeCell ref="BV103:BX104"/>
    <mergeCell ref="AY103:BA106"/>
    <mergeCell ref="BB103:BD104"/>
    <mergeCell ref="BE103:BE104"/>
    <mergeCell ref="BF103:BH104"/>
    <mergeCell ref="BI103:BI104"/>
    <mergeCell ref="BJ103:BL104"/>
    <mergeCell ref="R104:R105"/>
    <mergeCell ref="X105:Z106"/>
    <mergeCell ref="AA105:AA106"/>
    <mergeCell ref="AB105:AD106"/>
    <mergeCell ref="AE105:AE106"/>
    <mergeCell ref="AF105:AH106"/>
    <mergeCell ref="AI105:AI106"/>
    <mergeCell ref="AJ105:AL106"/>
    <mergeCell ref="AM105:AM106"/>
    <mergeCell ref="AE103:AE104"/>
    <mergeCell ref="AF103:AH104"/>
    <mergeCell ref="AI103:AI104"/>
    <mergeCell ref="AJ103:AL104"/>
    <mergeCell ref="AM103:AM104"/>
    <mergeCell ref="AR107:AT108"/>
    <mergeCell ref="AX107:BD108"/>
    <mergeCell ref="BE107:BE108"/>
    <mergeCell ref="BF107:BH108"/>
    <mergeCell ref="BY105:BY106"/>
    <mergeCell ref="R106:R107"/>
    <mergeCell ref="T107:Z108"/>
    <mergeCell ref="AA107:AA108"/>
    <mergeCell ref="AB107:AD108"/>
    <mergeCell ref="AE107:AE108"/>
    <mergeCell ref="AF107:AH108"/>
    <mergeCell ref="AI107:AI108"/>
    <mergeCell ref="AJ107:AL108"/>
    <mergeCell ref="AM107:AM108"/>
    <mergeCell ref="BM105:BM106"/>
    <mergeCell ref="BN105:BP106"/>
    <mergeCell ref="BQ105:BQ106"/>
    <mergeCell ref="BR105:BT106"/>
    <mergeCell ref="BU105:BU106"/>
    <mergeCell ref="BV105:BX106"/>
    <mergeCell ref="AN105:AP106"/>
    <mergeCell ref="AQ105:AQ106"/>
    <mergeCell ref="AR105:AT106"/>
    <mergeCell ref="AU105:AU106"/>
    <mergeCell ref="AJ109:AL110"/>
    <mergeCell ref="AM109:AM110"/>
    <mergeCell ref="AN109:AP110"/>
    <mergeCell ref="AQ109:AQ110"/>
    <mergeCell ref="AR109:AT110"/>
    <mergeCell ref="AU109:AU110"/>
    <mergeCell ref="BU107:BU108"/>
    <mergeCell ref="BV107:BX108"/>
    <mergeCell ref="R108:R109"/>
    <mergeCell ref="T109:T120"/>
    <mergeCell ref="U109:Z110"/>
    <mergeCell ref="AA109:AA110"/>
    <mergeCell ref="AB109:AD110"/>
    <mergeCell ref="AE109:AE110"/>
    <mergeCell ref="AF109:AH110"/>
    <mergeCell ref="AI109:AI110"/>
    <mergeCell ref="BI107:BI108"/>
    <mergeCell ref="BJ107:BL108"/>
    <mergeCell ref="BM107:BM108"/>
    <mergeCell ref="BN107:BP108"/>
    <mergeCell ref="BQ107:BQ108"/>
    <mergeCell ref="BR107:BT108"/>
    <mergeCell ref="AN107:AP108"/>
    <mergeCell ref="AQ107:AQ108"/>
    <mergeCell ref="BY109:BY110"/>
    <mergeCell ref="R110:R111"/>
    <mergeCell ref="U111:Z112"/>
    <mergeCell ref="AA111:AA112"/>
    <mergeCell ref="AB111:AD112"/>
    <mergeCell ref="AE111:AE112"/>
    <mergeCell ref="AF111:AH112"/>
    <mergeCell ref="AI111:AI112"/>
    <mergeCell ref="AJ111:AL112"/>
    <mergeCell ref="AM111:AM112"/>
    <mergeCell ref="BM109:BM110"/>
    <mergeCell ref="BN109:BP110"/>
    <mergeCell ref="BQ109:BQ110"/>
    <mergeCell ref="BR109:BT110"/>
    <mergeCell ref="BU109:BU110"/>
    <mergeCell ref="BV109:BX110"/>
    <mergeCell ref="AX109:AX120"/>
    <mergeCell ref="AY109:BD110"/>
    <mergeCell ref="BE109:BE110"/>
    <mergeCell ref="BF109:BH110"/>
    <mergeCell ref="BI109:BI110"/>
    <mergeCell ref="BJ109:BL110"/>
    <mergeCell ref="BF111:BH112"/>
    <mergeCell ref="BI111:BI112"/>
    <mergeCell ref="BY111:BY112"/>
    <mergeCell ref="R112:R113"/>
    <mergeCell ref="U113:Z114"/>
    <mergeCell ref="AA113:AA114"/>
    <mergeCell ref="AB113:AD114"/>
    <mergeCell ref="AE113:AE114"/>
    <mergeCell ref="AF113:AH114"/>
    <mergeCell ref="AI113:AI114"/>
    <mergeCell ref="AJ113:AL114"/>
    <mergeCell ref="AM113:AM114"/>
    <mergeCell ref="BM111:BM112"/>
    <mergeCell ref="BN111:BP112"/>
    <mergeCell ref="BQ111:BQ112"/>
    <mergeCell ref="BR111:BT112"/>
    <mergeCell ref="BU111:BU112"/>
    <mergeCell ref="BV111:BX112"/>
    <mergeCell ref="AN111:AP112"/>
    <mergeCell ref="AQ111:AQ112"/>
    <mergeCell ref="AR111:AT112"/>
    <mergeCell ref="AU111:AU112"/>
    <mergeCell ref="AY111:BD112"/>
    <mergeCell ref="BE111:BE112"/>
    <mergeCell ref="BJ111:BL112"/>
    <mergeCell ref="BF113:BH114"/>
    <mergeCell ref="R114:R115"/>
    <mergeCell ref="U115:Z116"/>
    <mergeCell ref="AA115:AA116"/>
    <mergeCell ref="AB115:AD116"/>
    <mergeCell ref="AE115:AE116"/>
    <mergeCell ref="AF115:AH116"/>
    <mergeCell ref="AI115:AI116"/>
    <mergeCell ref="BI113:BI114"/>
    <mergeCell ref="BJ113:BL114"/>
    <mergeCell ref="AN113:AP114"/>
    <mergeCell ref="AQ113:AQ114"/>
    <mergeCell ref="AR113:AT114"/>
    <mergeCell ref="AU113:AU114"/>
    <mergeCell ref="AY113:BD114"/>
    <mergeCell ref="BE113:BE114"/>
    <mergeCell ref="AJ115:AL116"/>
    <mergeCell ref="AM115:AM116"/>
    <mergeCell ref="AN115:AP116"/>
    <mergeCell ref="AQ115:AQ116"/>
    <mergeCell ref="AR115:AT116"/>
    <mergeCell ref="AU115:AU116"/>
    <mergeCell ref="AY115:BD116"/>
    <mergeCell ref="BE115:BE116"/>
    <mergeCell ref="BF115:BH116"/>
    <mergeCell ref="BU113:BU114"/>
    <mergeCell ref="BV113:BX114"/>
    <mergeCell ref="BY113:BY114"/>
    <mergeCell ref="BM113:BM114"/>
    <mergeCell ref="BN113:BP114"/>
    <mergeCell ref="BQ113:BQ114"/>
    <mergeCell ref="BR113:BT114"/>
    <mergeCell ref="BN115:BP116"/>
    <mergeCell ref="BQ115:BQ116"/>
    <mergeCell ref="BR115:BT116"/>
    <mergeCell ref="BU115:BU116"/>
    <mergeCell ref="BV115:BX116"/>
    <mergeCell ref="BY115:BY116"/>
    <mergeCell ref="AI117:AI118"/>
    <mergeCell ref="AJ117:AL118"/>
    <mergeCell ref="AM117:AM118"/>
    <mergeCell ref="AN117:AP118"/>
    <mergeCell ref="AQ117:AQ118"/>
    <mergeCell ref="AR117:AT118"/>
    <mergeCell ref="BB117:BD118"/>
    <mergeCell ref="BE117:BE118"/>
    <mergeCell ref="BF117:BH118"/>
    <mergeCell ref="BM117:BM118"/>
    <mergeCell ref="BN117:BP118"/>
    <mergeCell ref="BQ117:BQ118"/>
    <mergeCell ref="BR117:BT118"/>
    <mergeCell ref="BU117:BU118"/>
    <mergeCell ref="AU117:AU118"/>
    <mergeCell ref="AY117:BA120"/>
    <mergeCell ref="BI115:BI116"/>
    <mergeCell ref="BJ115:BL116"/>
    <mergeCell ref="BM115:BM116"/>
    <mergeCell ref="BI117:BI118"/>
    <mergeCell ref="BY119:BY120"/>
    <mergeCell ref="BJ119:BL120"/>
    <mergeCell ref="BM119:BM120"/>
    <mergeCell ref="BN119:BP120"/>
    <mergeCell ref="BQ119:BQ120"/>
    <mergeCell ref="BR119:BT120"/>
    <mergeCell ref="BU119:BU120"/>
    <mergeCell ref="U117:W120"/>
    <mergeCell ref="X117:Z118"/>
    <mergeCell ref="AA117:AA118"/>
    <mergeCell ref="AB117:AD118"/>
    <mergeCell ref="AE117:AE118"/>
    <mergeCell ref="AF117:AH118"/>
    <mergeCell ref="BV117:BX118"/>
    <mergeCell ref="BY117:BY118"/>
    <mergeCell ref="X119:Z120"/>
    <mergeCell ref="AA119:AA120"/>
    <mergeCell ref="AB119:AD120"/>
    <mergeCell ref="AE119:AE120"/>
    <mergeCell ref="AF119:AH120"/>
    <mergeCell ref="AI119:AI120"/>
    <mergeCell ref="AJ119:AL120"/>
    <mergeCell ref="AM119:AM120"/>
    <mergeCell ref="BJ117:BL118"/>
    <mergeCell ref="AN119:AP120"/>
    <mergeCell ref="AQ119:AQ120"/>
    <mergeCell ref="AR119:AT120"/>
    <mergeCell ref="AU119:AU120"/>
    <mergeCell ref="BB119:BD120"/>
    <mergeCell ref="BE119:BE120"/>
    <mergeCell ref="BF119:BH120"/>
    <mergeCell ref="BI119:BI120"/>
    <mergeCell ref="BV119:BX120"/>
  </mergeCells>
  <phoneticPr fontId="2"/>
  <conditionalFormatting sqref="V68">
    <cfRule type="cellIs" dxfId="26" priority="1" operator="equal">
      <formula>"「いしかわモデル」導入の事業費が既存処理体系の事業費を上回っています。 以下の対応により、「いしかわモデル」導入における課題を解消できる可能性があります。"")"</formula>
    </cfRule>
    <cfRule type="cellIs" dxfId="25" priority="2" operator="equal">
      <formula>"「いしかわモデル」の導入による、事業費の低減が期待できます。"</formula>
    </cfRule>
  </conditionalFormatting>
  <conditionalFormatting sqref="AU68">
    <cfRule type="cellIs" dxfId="24" priority="3"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dataValidations count="2">
    <dataValidation type="list" allowBlank="1" showInputMessage="1" showErrorMessage="1" sqref="V30:BD39">
      <formula1>"0,1,2,3,4,5,6,7,8,9"</formula1>
    </dataValidation>
    <dataValidation type="list" allowBlank="1" showInputMessage="1" showErrorMessage="1" sqref="AM20:BP21">
      <formula1>"濃縮汚泥,脱水汚泥"</formula1>
    </dataValidation>
  </dataValidations>
  <pageMargins left="0.7" right="0.7" top="0.75" bottom="0.75" header="0.3" footer="0.3"/>
  <pageSetup paperSize="9" scale="55"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B2:AB111"/>
  <sheetViews>
    <sheetView showGridLines="0" workbookViewId="0"/>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301" t="s">
        <v>575</v>
      </c>
      <c r="C2" s="1301"/>
      <c r="D2" s="1301"/>
      <c r="E2" s="1301"/>
      <c r="F2" s="1301"/>
      <c r="G2" s="1301"/>
      <c r="H2" s="1301"/>
      <c r="I2" s="1301"/>
      <c r="J2" s="1301"/>
      <c r="K2" s="1301"/>
      <c r="L2" s="1301"/>
      <c r="M2" s="1301"/>
      <c r="N2" s="1301"/>
      <c r="O2" s="1301"/>
      <c r="P2" s="1301"/>
      <c r="Q2" s="1301"/>
      <c r="R2" s="1301"/>
      <c r="S2" s="1301"/>
      <c r="T2" s="1301"/>
      <c r="U2" s="1301"/>
      <c r="V2" s="1301"/>
      <c r="W2" s="1301"/>
      <c r="X2" s="1301"/>
      <c r="Y2" s="1301"/>
    </row>
    <row r="3" spans="2:27" ht="14.25" thickBot="1">
      <c r="B3" s="1302" t="s">
        <v>330</v>
      </c>
      <c r="C3" s="1303"/>
      <c r="D3" s="1303"/>
      <c r="E3" s="1303"/>
      <c r="F3" s="1303"/>
      <c r="G3" s="1303"/>
      <c r="H3" s="1303"/>
      <c r="I3" s="1303"/>
      <c r="J3" s="1303"/>
      <c r="K3" s="1303"/>
      <c r="L3" s="1303"/>
      <c r="M3" s="1303"/>
      <c r="N3" s="1303"/>
      <c r="O3" s="1303"/>
      <c r="P3" s="1303"/>
      <c r="Q3" s="1303"/>
      <c r="R3" s="1303"/>
      <c r="S3" s="1303"/>
      <c r="T3" s="1303"/>
      <c r="U3" s="1303"/>
      <c r="V3" s="1303"/>
      <c r="W3" s="1303"/>
      <c r="X3" s="1303"/>
      <c r="Y3" s="1304"/>
    </row>
    <row r="4" spans="2:27">
      <c r="B4" s="1305" t="s">
        <v>48</v>
      </c>
      <c r="C4" s="1307" t="s">
        <v>23</v>
      </c>
      <c r="D4" s="1307"/>
      <c r="E4" s="1307"/>
      <c r="F4" s="1307"/>
      <c r="G4" s="1309" t="s">
        <v>49</v>
      </c>
      <c r="H4" s="1307" t="s">
        <v>24</v>
      </c>
      <c r="I4" s="1311">
        <f>⑤基本情報入力!L12</f>
        <v>0</v>
      </c>
      <c r="J4" s="1311">
        <f>+⑤基本情報入力!V12</f>
        <v>0</v>
      </c>
      <c r="K4" s="1311">
        <f>+⑤基本情報入力!AA12</f>
        <v>0</v>
      </c>
      <c r="L4" s="1311">
        <f>+⑤基本情報入力!AF12</f>
        <v>0</v>
      </c>
      <c r="M4" s="1311">
        <f>+⑤基本情報入力!AK12</f>
        <v>0</v>
      </c>
      <c r="N4" s="1319">
        <f>+⑤基本情報入力!AP12</f>
        <v>0</v>
      </c>
      <c r="O4" s="1311">
        <f>+⑤基本情報入力!AU12</f>
        <v>0</v>
      </c>
      <c r="P4" s="1311">
        <f>+⑤基本情報入力!L29</f>
        <v>0</v>
      </c>
      <c r="Q4" s="1311">
        <f>+⑤基本情報入力!Q29</f>
        <v>0</v>
      </c>
      <c r="R4" s="1311">
        <f>+⑤基本情報入力!V29</f>
        <v>0</v>
      </c>
      <c r="S4" s="1311">
        <f>+⑤基本情報入力!AA29</f>
        <v>0</v>
      </c>
      <c r="T4" s="1311">
        <f>+⑤基本情報入力!AF29</f>
        <v>0</v>
      </c>
      <c r="U4" s="1311">
        <f>+⑤基本情報入力!AK29</f>
        <v>0</v>
      </c>
      <c r="V4" s="1319">
        <f>+⑤基本情報入力!AP29</f>
        <v>0</v>
      </c>
      <c r="W4" s="1321">
        <f>+⑤基本情報入力!AU29</f>
        <v>0</v>
      </c>
      <c r="X4" s="1323" t="s">
        <v>55</v>
      </c>
      <c r="Y4" s="1317" t="s">
        <v>25</v>
      </c>
    </row>
    <row r="5" spans="2:27">
      <c r="B5" s="1306"/>
      <c r="C5" s="1308"/>
      <c r="D5" s="1308"/>
      <c r="E5" s="1308"/>
      <c r="F5" s="1308"/>
      <c r="G5" s="1310"/>
      <c r="H5" s="1308"/>
      <c r="I5" s="1285"/>
      <c r="J5" s="1285"/>
      <c r="K5" s="1285"/>
      <c r="L5" s="1285"/>
      <c r="M5" s="1285"/>
      <c r="N5" s="1320"/>
      <c r="O5" s="1285"/>
      <c r="P5" s="1285"/>
      <c r="Q5" s="1285"/>
      <c r="R5" s="1285"/>
      <c r="S5" s="1285"/>
      <c r="T5" s="1285"/>
      <c r="U5" s="1285"/>
      <c r="V5" s="1320"/>
      <c r="W5" s="1322"/>
      <c r="X5" s="1324"/>
      <c r="Y5" s="1318"/>
    </row>
    <row r="6" spans="2:27" ht="13.5" customHeight="1">
      <c r="B6" s="1306"/>
      <c r="C6" s="1308"/>
      <c r="D6" s="1308"/>
      <c r="E6" s="1308"/>
      <c r="F6" s="1308"/>
      <c r="G6" s="1310"/>
      <c r="H6" s="1308"/>
      <c r="I6" s="1312" t="str">
        <f>⑤基本情報入力!L13</f>
        <v>濃縮汚泥</v>
      </c>
      <c r="J6" s="1312">
        <f>+⑤基本情報入力!V13</f>
        <v>0</v>
      </c>
      <c r="K6" s="1312">
        <f>+⑤基本情報入力!AA13</f>
        <v>0</v>
      </c>
      <c r="L6" s="1312">
        <f>+⑤基本情報入力!AF13</f>
        <v>0</v>
      </c>
      <c r="M6" s="1313">
        <f>+⑤基本情報入力!AK13</f>
        <v>0</v>
      </c>
      <c r="N6" s="1313">
        <f>+⑤基本情報入力!AP13</f>
        <v>0</v>
      </c>
      <c r="O6" s="1312">
        <f>+⑤基本情報入力!AU13</f>
        <v>0</v>
      </c>
      <c r="P6" s="1312" t="str">
        <f>⑤基本情報入力!L30</f>
        <v>し尿</v>
      </c>
      <c r="Q6" s="1312" t="str">
        <f>+⑤基本情報入力!Q30</f>
        <v>浄化槽汚泥</v>
      </c>
      <c r="R6" s="1312" t="str">
        <f>+⑤基本情報入力!V30</f>
        <v>集落排水汚泥</v>
      </c>
      <c r="S6" s="1312" t="str">
        <f>+⑤基本情報入力!AA30</f>
        <v>生ごみ</v>
      </c>
      <c r="T6" s="1312">
        <f>+⑤基本情報入力!AF30</f>
        <v>0</v>
      </c>
      <c r="U6" s="1312">
        <f>+⑤基本情報入力!AK30</f>
        <v>0</v>
      </c>
      <c r="V6" s="1313">
        <f>+⑤基本情報入力!AP30</f>
        <v>0</v>
      </c>
      <c r="W6" s="1315">
        <f>+⑤基本情報入力!AU30</f>
        <v>0</v>
      </c>
      <c r="X6" s="1324"/>
      <c r="Y6" s="1318"/>
    </row>
    <row r="7" spans="2:27">
      <c r="B7" s="1306"/>
      <c r="C7" s="1308"/>
      <c r="D7" s="1308"/>
      <c r="E7" s="1308"/>
      <c r="F7" s="1308"/>
      <c r="G7" s="1310"/>
      <c r="H7" s="1308"/>
      <c r="I7" s="1312"/>
      <c r="J7" s="1312"/>
      <c r="K7" s="1312"/>
      <c r="L7" s="1312"/>
      <c r="M7" s="1314"/>
      <c r="N7" s="1314"/>
      <c r="O7" s="1312"/>
      <c r="P7" s="1312"/>
      <c r="Q7" s="1312"/>
      <c r="R7" s="1312"/>
      <c r="S7" s="1312"/>
      <c r="T7" s="1312"/>
      <c r="U7" s="1312"/>
      <c r="V7" s="1314"/>
      <c r="W7" s="1316"/>
      <c r="X7" s="1324"/>
      <c r="Y7" s="1318"/>
    </row>
    <row r="8" spans="2:27">
      <c r="B8" s="176" t="s">
        <v>390</v>
      </c>
      <c r="C8" s="1325" t="s">
        <v>70</v>
      </c>
      <c r="D8" s="1326" t="s">
        <v>56</v>
      </c>
      <c r="E8" s="1329" t="s">
        <v>57</v>
      </c>
      <c r="F8" s="464" t="s">
        <v>58</v>
      </c>
      <c r="G8" s="8" t="s">
        <v>50</v>
      </c>
      <c r="H8" s="212" t="s">
        <v>0</v>
      </c>
      <c r="I8" s="11">
        <f>+ROUND(⑤基本情報入力!L14,2)</f>
        <v>0</v>
      </c>
      <c r="J8" s="11">
        <f>+ROUND(⑤基本情報入力!V14,2)</f>
        <v>0</v>
      </c>
      <c r="K8" s="11">
        <f>+ROUND(⑤基本情報入力!AA14,2)</f>
        <v>0</v>
      </c>
      <c r="L8" s="11">
        <f>+ROUND(⑤基本情報入力!AF14,2)</f>
        <v>0</v>
      </c>
      <c r="M8" s="11">
        <f>+ROUND(⑤基本情報入力!AK14,2)</f>
        <v>0</v>
      </c>
      <c r="N8" s="11">
        <f>+ROUND(⑤基本情報入力!AP14,2)</f>
        <v>0</v>
      </c>
      <c r="O8" s="11">
        <f>+ROUND(⑤基本情報入力!AU14,2)</f>
        <v>0</v>
      </c>
      <c r="P8" s="11">
        <f>+ROUND(⑤基本情報入力!L31,2)</f>
        <v>0</v>
      </c>
      <c r="Q8" s="11">
        <f>+ROUND(⑤基本情報入力!Q31,2)</f>
        <v>0</v>
      </c>
      <c r="R8" s="11">
        <f>+ROUND(⑤基本情報入力!V31,2)</f>
        <v>0</v>
      </c>
      <c r="S8" s="11">
        <f>+ROUND(⑤基本情報入力!AA31,2)</f>
        <v>0</v>
      </c>
      <c r="T8" s="11">
        <f>+ROUND(⑤基本情報入力!AF31,2)</f>
        <v>0</v>
      </c>
      <c r="U8" s="11">
        <f>+ROUND(⑤基本情報入力!AK31,2)</f>
        <v>0</v>
      </c>
      <c r="V8" s="11">
        <f>+ROUND(⑤基本情報入力!AP31,2)</f>
        <v>0</v>
      </c>
      <c r="W8" s="211">
        <f>+ROUND(⑤基本情報入力!AU31,2)</f>
        <v>0</v>
      </c>
      <c r="X8" s="10">
        <f t="shared" ref="X8:X13" si="0">+SUM(I8:V8)</f>
        <v>0</v>
      </c>
      <c r="Y8" s="13" t="s">
        <v>169</v>
      </c>
    </row>
    <row r="9" spans="2:27">
      <c r="B9" s="460" t="s">
        <v>391</v>
      </c>
      <c r="C9" s="1326"/>
      <c r="D9" s="1328"/>
      <c r="E9" s="1330"/>
      <c r="F9" s="465" t="s">
        <v>59</v>
      </c>
      <c r="G9" s="463" t="s">
        <v>65</v>
      </c>
      <c r="H9" s="458"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392</v>
      </c>
      <c r="C10" s="1326"/>
      <c r="D10" s="1331" t="s">
        <v>54</v>
      </c>
      <c r="E10" s="1332" t="s">
        <v>60</v>
      </c>
      <c r="F10" s="466" t="s">
        <v>61</v>
      </c>
      <c r="G10" s="274" t="s">
        <v>168</v>
      </c>
      <c r="H10" s="459" t="s">
        <v>0</v>
      </c>
      <c r="I10" s="275">
        <f>I8-I9</f>
        <v>0</v>
      </c>
      <c r="J10" s="275">
        <f>J8-J9</f>
        <v>0</v>
      </c>
      <c r="K10" s="275">
        <f t="shared" ref="K10:W10" si="2">K8-K9</f>
        <v>0</v>
      </c>
      <c r="L10" s="275">
        <f t="shared" si="2"/>
        <v>0</v>
      </c>
      <c r="M10" s="275">
        <f t="shared" si="2"/>
        <v>0</v>
      </c>
      <c r="N10" s="275">
        <f t="shared" si="2"/>
        <v>0</v>
      </c>
      <c r="O10" s="275">
        <f t="shared" si="2"/>
        <v>0</v>
      </c>
      <c r="P10" s="275">
        <f t="shared" si="2"/>
        <v>0</v>
      </c>
      <c r="Q10" s="275">
        <f t="shared" si="2"/>
        <v>0</v>
      </c>
      <c r="R10" s="275">
        <f t="shared" si="2"/>
        <v>0</v>
      </c>
      <c r="S10" s="275">
        <f t="shared" si="2"/>
        <v>0</v>
      </c>
      <c r="T10" s="275">
        <f t="shared" si="2"/>
        <v>0</v>
      </c>
      <c r="U10" s="275">
        <f t="shared" si="2"/>
        <v>0</v>
      </c>
      <c r="V10" s="275">
        <f t="shared" si="2"/>
        <v>0</v>
      </c>
      <c r="W10" s="306">
        <f t="shared" si="2"/>
        <v>0</v>
      </c>
      <c r="X10" s="281">
        <f t="shared" si="0"/>
        <v>0</v>
      </c>
      <c r="Y10" s="276"/>
      <c r="Z10" s="277"/>
      <c r="AA10" s="278"/>
    </row>
    <row r="11" spans="2:27">
      <c r="B11" s="460" t="s">
        <v>393</v>
      </c>
      <c r="C11" s="1326"/>
      <c r="D11" s="1326"/>
      <c r="E11" s="1329"/>
      <c r="F11" s="465" t="s">
        <v>62</v>
      </c>
      <c r="G11" s="463" t="s">
        <v>66</v>
      </c>
      <c r="H11" s="458" t="s">
        <v>162</v>
      </c>
      <c r="I11" s="14">
        <f>ROUND(+I10*I15/100,2)</f>
        <v>0</v>
      </c>
      <c r="J11" s="14">
        <f>ROUND(+J10*J15/100,2)</f>
        <v>0</v>
      </c>
      <c r="K11" s="14">
        <f t="shared" ref="K11:W11" si="3">ROUND(+K10*K15/100,2)</f>
        <v>0</v>
      </c>
      <c r="L11" s="14">
        <f t="shared" si="3"/>
        <v>0</v>
      </c>
      <c r="M11" s="14">
        <f t="shared" si="3"/>
        <v>0</v>
      </c>
      <c r="N11" s="14">
        <f t="shared" si="3"/>
        <v>0</v>
      </c>
      <c r="O11" s="14">
        <f t="shared" si="3"/>
        <v>0</v>
      </c>
      <c r="P11" s="14">
        <f t="shared" si="3"/>
        <v>0</v>
      </c>
      <c r="Q11" s="14">
        <f t="shared" si="3"/>
        <v>0</v>
      </c>
      <c r="R11" s="14">
        <f t="shared" si="3"/>
        <v>0</v>
      </c>
      <c r="S11" s="14">
        <f t="shared" si="3"/>
        <v>0</v>
      </c>
      <c r="T11" s="14">
        <f t="shared" si="3"/>
        <v>0</v>
      </c>
      <c r="U11" s="14">
        <f t="shared" si="3"/>
        <v>0</v>
      </c>
      <c r="V11" s="14">
        <f t="shared" si="3"/>
        <v>0</v>
      </c>
      <c r="W11" s="210">
        <f t="shared" si="3"/>
        <v>0</v>
      </c>
      <c r="X11" s="15">
        <f t="shared" si="0"/>
        <v>0</v>
      </c>
      <c r="Y11" s="17"/>
    </row>
    <row r="12" spans="2:27">
      <c r="B12" s="460" t="s">
        <v>394</v>
      </c>
      <c r="C12" s="1326"/>
      <c r="D12" s="1326"/>
      <c r="E12" s="1329"/>
      <c r="F12" s="465" t="s">
        <v>63</v>
      </c>
      <c r="G12" s="19" t="s">
        <v>67</v>
      </c>
      <c r="H12" s="458" t="s">
        <v>69</v>
      </c>
      <c r="I12" s="14">
        <f>+I10-I11</f>
        <v>0</v>
      </c>
      <c r="J12" s="14">
        <f>+J10-J11</f>
        <v>0</v>
      </c>
      <c r="K12" s="14">
        <f t="shared" ref="K12:W12" si="4">+K10-K11</f>
        <v>0</v>
      </c>
      <c r="L12" s="14">
        <f t="shared" si="4"/>
        <v>0</v>
      </c>
      <c r="M12" s="14">
        <f t="shared" si="4"/>
        <v>0</v>
      </c>
      <c r="N12" s="14">
        <f t="shared" si="4"/>
        <v>0</v>
      </c>
      <c r="O12" s="14">
        <f t="shared" si="4"/>
        <v>0</v>
      </c>
      <c r="P12" s="14">
        <f t="shared" si="4"/>
        <v>0</v>
      </c>
      <c r="Q12" s="14">
        <f t="shared" si="4"/>
        <v>0</v>
      </c>
      <c r="R12" s="14">
        <f t="shared" si="4"/>
        <v>0</v>
      </c>
      <c r="S12" s="14">
        <f t="shared" si="4"/>
        <v>0</v>
      </c>
      <c r="T12" s="14">
        <f t="shared" si="4"/>
        <v>0</v>
      </c>
      <c r="U12" s="14">
        <f t="shared" si="4"/>
        <v>0</v>
      </c>
      <c r="V12" s="14">
        <f t="shared" si="4"/>
        <v>0</v>
      </c>
      <c r="W12" s="210">
        <f t="shared" si="4"/>
        <v>0</v>
      </c>
      <c r="X12" s="15">
        <f t="shared" si="0"/>
        <v>0</v>
      </c>
      <c r="Y12" s="17"/>
    </row>
    <row r="13" spans="2:27" ht="15.75" customHeight="1" thickBot="1">
      <c r="B13" s="460" t="s">
        <v>395</v>
      </c>
      <c r="C13" s="1327"/>
      <c r="D13" s="1327"/>
      <c r="E13" s="1333"/>
      <c r="F13" s="192" t="s">
        <v>64</v>
      </c>
      <c r="G13" s="204" t="s">
        <v>68</v>
      </c>
      <c r="H13" s="458" t="s">
        <v>35</v>
      </c>
      <c r="I13" s="190">
        <f>ROUND(+I11*I16/100,2)</f>
        <v>0</v>
      </c>
      <c r="J13" s="190">
        <f>ROUND(+J11*J16/100,2)</f>
        <v>0</v>
      </c>
      <c r="K13" s="190">
        <f t="shared" ref="K13:W13" si="5">ROUND(+K11*K16/100,2)</f>
        <v>0</v>
      </c>
      <c r="L13" s="190">
        <f t="shared" si="5"/>
        <v>0</v>
      </c>
      <c r="M13" s="190">
        <f t="shared" si="5"/>
        <v>0</v>
      </c>
      <c r="N13" s="190">
        <f t="shared" si="5"/>
        <v>0</v>
      </c>
      <c r="O13" s="190">
        <f t="shared" si="5"/>
        <v>0</v>
      </c>
      <c r="P13" s="190">
        <f t="shared" si="5"/>
        <v>0</v>
      </c>
      <c r="Q13" s="190">
        <f t="shared" si="5"/>
        <v>0</v>
      </c>
      <c r="R13" s="190">
        <f t="shared" si="5"/>
        <v>0</v>
      </c>
      <c r="S13" s="190">
        <f t="shared" si="5"/>
        <v>0</v>
      </c>
      <c r="T13" s="190">
        <f t="shared" si="5"/>
        <v>0</v>
      </c>
      <c r="U13" s="190">
        <f t="shared" si="5"/>
        <v>0</v>
      </c>
      <c r="V13" s="190">
        <f t="shared" si="5"/>
        <v>0</v>
      </c>
      <c r="W13" s="307">
        <f t="shared" si="5"/>
        <v>0</v>
      </c>
      <c r="X13" s="205">
        <f t="shared" si="0"/>
        <v>0</v>
      </c>
      <c r="Y13" s="193"/>
    </row>
    <row r="14" spans="2:27" ht="13.5" customHeight="1">
      <c r="B14" s="262" t="s">
        <v>396</v>
      </c>
      <c r="C14" s="1334" t="s">
        <v>89</v>
      </c>
      <c r="D14" s="461" t="s">
        <v>56</v>
      </c>
      <c r="E14" s="467" t="s">
        <v>57</v>
      </c>
      <c r="F14" s="467" t="s">
        <v>71</v>
      </c>
      <c r="G14" s="183" t="s">
        <v>50</v>
      </c>
      <c r="H14" s="263" t="s">
        <v>53</v>
      </c>
      <c r="I14" s="42">
        <f>+ROUND(⑤基本情報入力!L16,1)</f>
        <v>0</v>
      </c>
      <c r="J14" s="42">
        <f>+ROUND(⑤基本情報入力!V16,1)</f>
        <v>0</v>
      </c>
      <c r="K14" s="42">
        <f>+ROUND(⑤基本情報入力!AA16,1)</f>
        <v>0</v>
      </c>
      <c r="L14" s="42">
        <f>+ROUND(⑤基本情報入力!AF16,1)</f>
        <v>0</v>
      </c>
      <c r="M14" s="42">
        <f>+ROUND(⑤基本情報入力!AK16,1)</f>
        <v>0</v>
      </c>
      <c r="N14" s="42">
        <f>+ROUND(⑤基本情報入力!AP16,1)</f>
        <v>0</v>
      </c>
      <c r="O14" s="42">
        <f>+ROUND(⑤基本情報入力!AU16,1)</f>
        <v>0</v>
      </c>
      <c r="P14" s="42">
        <f>+ROUND(⑤基本情報入力!L33,1)</f>
        <v>0</v>
      </c>
      <c r="Q14" s="42">
        <f>+ROUND(⑤基本情報入力!Q33,1)</f>
        <v>0</v>
      </c>
      <c r="R14" s="42">
        <f>+ROUND(⑤基本情報入力!V33,1)</f>
        <v>0</v>
      </c>
      <c r="S14" s="42">
        <f>+ROUND(⑤基本情報入力!AA33,1)</f>
        <v>0</v>
      </c>
      <c r="T14" s="42">
        <f>+ROUND(⑤基本情報入力!AF33,1)</f>
        <v>0</v>
      </c>
      <c r="U14" s="42">
        <f>+ROUND(⑤基本情報入力!AK33,1)</f>
        <v>0</v>
      </c>
      <c r="V14" s="42">
        <f>+ROUND(⑤基本情報入力!AP33,1)</f>
        <v>0</v>
      </c>
      <c r="W14" s="61">
        <f>+ROUND(⑤基本情報入力!AU33,1)</f>
        <v>0</v>
      </c>
      <c r="X14" s="59" t="e">
        <f>+ROUND(X9/X8*100,1)</f>
        <v>#DIV/0!</v>
      </c>
      <c r="Y14" s="20"/>
    </row>
    <row r="15" spans="2:27" ht="13.5" customHeight="1">
      <c r="B15" s="460" t="s">
        <v>397</v>
      </c>
      <c r="C15" s="1325"/>
      <c r="D15" s="1331" t="s">
        <v>54</v>
      </c>
      <c r="E15" s="1336" t="s">
        <v>60</v>
      </c>
      <c r="F15" s="21" t="s">
        <v>51</v>
      </c>
      <c r="G15" s="170" t="s">
        <v>50</v>
      </c>
      <c r="H15" s="458" t="s">
        <v>53</v>
      </c>
      <c r="I15" s="43">
        <f>+ROUND(⑤基本情報入力!L17,1)</f>
        <v>0</v>
      </c>
      <c r="J15" s="43">
        <f>+ROUND(⑤基本情報入力!V17,1)</f>
        <v>0</v>
      </c>
      <c r="K15" s="43">
        <f>+ROUND(⑤基本情報入力!AA17,1)</f>
        <v>0</v>
      </c>
      <c r="L15" s="43">
        <f>+ROUND(⑤基本情報入力!AF17,1)</f>
        <v>0</v>
      </c>
      <c r="M15" s="43">
        <f>+ROUND(⑤基本情報入力!AK17,1)</f>
        <v>0</v>
      </c>
      <c r="N15" s="43">
        <f>+ROUND(⑤基本情報入力!AP17,1)</f>
        <v>0</v>
      </c>
      <c r="O15" s="43">
        <f>+ROUND(⑤基本情報入力!AU17,1)</f>
        <v>0</v>
      </c>
      <c r="P15" s="43">
        <f>+ROUND(⑤基本情報入力!L34,1)</f>
        <v>0</v>
      </c>
      <c r="Q15" s="43">
        <f>+ROUND(⑤基本情報入力!Q34,1)</f>
        <v>0</v>
      </c>
      <c r="R15" s="43">
        <f>+ROUND(⑤基本情報入力!V34,1)</f>
        <v>0</v>
      </c>
      <c r="S15" s="43">
        <f>+ROUND(⑤基本情報入力!AA34,1)</f>
        <v>0</v>
      </c>
      <c r="T15" s="43">
        <f>+ROUND(⑤基本情報入力!AF34,1)</f>
        <v>0</v>
      </c>
      <c r="U15" s="43">
        <f>+ROUND(⑤基本情報入力!AK34,1)</f>
        <v>0</v>
      </c>
      <c r="V15" s="43">
        <f>+ROUND(⑤基本情報入力!AP34,1)</f>
        <v>0</v>
      </c>
      <c r="W15" s="62">
        <f>+ROUND(⑤基本情報入力!AU34,1)</f>
        <v>0</v>
      </c>
      <c r="X15" s="26">
        <f>IF(X10=0,0,ROUND(+X11/X10*100,1))</f>
        <v>0</v>
      </c>
      <c r="Y15" s="40"/>
    </row>
    <row r="16" spans="2:27">
      <c r="B16" s="460" t="s">
        <v>398</v>
      </c>
      <c r="C16" s="1325"/>
      <c r="D16" s="1325"/>
      <c r="E16" s="1336"/>
      <c r="F16" s="21" t="s">
        <v>52</v>
      </c>
      <c r="G16" s="170" t="s">
        <v>50</v>
      </c>
      <c r="H16" s="458" t="s">
        <v>91</v>
      </c>
      <c r="I16" s="43">
        <f>+ROUND(⑤基本情報入力!L18,1)</f>
        <v>0</v>
      </c>
      <c r="J16" s="43">
        <f>+ROUND(⑤基本情報入力!V18,1)</f>
        <v>0</v>
      </c>
      <c r="K16" s="43">
        <f>+ROUND(⑤基本情報入力!AA18,1)</f>
        <v>0</v>
      </c>
      <c r="L16" s="43">
        <f>+ROUND(⑤基本情報入力!AF18,1)</f>
        <v>0</v>
      </c>
      <c r="M16" s="43">
        <f>+ROUND(⑤基本情報入力!AK18,1)</f>
        <v>0</v>
      </c>
      <c r="N16" s="43">
        <f>+ROUND(⑤基本情報入力!AP18,1)</f>
        <v>0</v>
      </c>
      <c r="O16" s="43">
        <f>+ROUND(⑤基本情報入力!AU18,1)</f>
        <v>0</v>
      </c>
      <c r="P16" s="43">
        <f>+ROUND(⑤基本情報入力!L35,1)</f>
        <v>0</v>
      </c>
      <c r="Q16" s="43">
        <f>+ROUND(⑤基本情報入力!Q35,1)</f>
        <v>0</v>
      </c>
      <c r="R16" s="43">
        <f>+ROUND(⑤基本情報入力!V35,1)</f>
        <v>0</v>
      </c>
      <c r="S16" s="43">
        <f>+ROUND(⑤基本情報入力!AA35,1)</f>
        <v>0</v>
      </c>
      <c r="T16" s="43">
        <f>+ROUND(⑤基本情報入力!AF35,1)</f>
        <v>0</v>
      </c>
      <c r="U16" s="43">
        <f>+ROUND(⑤基本情報入力!AK35,1)</f>
        <v>0</v>
      </c>
      <c r="V16" s="43">
        <f>+ROUND(⑤基本情報入力!AP35,1)</f>
        <v>0</v>
      </c>
      <c r="W16" s="62">
        <f>+ROUND(⑤基本情報入力!AU35,1)</f>
        <v>0</v>
      </c>
      <c r="X16" s="26" t="e">
        <f>+ROUND(X13/X11*100,1)</f>
        <v>#DIV/0!</v>
      </c>
      <c r="Y16" s="22"/>
    </row>
    <row r="17" spans="2:28">
      <c r="B17" s="460" t="s">
        <v>399</v>
      </c>
      <c r="C17" s="1325"/>
      <c r="D17" s="1325"/>
      <c r="E17" s="1337" t="s">
        <v>72</v>
      </c>
      <c r="F17" s="478" t="s">
        <v>73</v>
      </c>
      <c r="G17" s="170" t="s">
        <v>50</v>
      </c>
      <c r="H17" s="458" t="s">
        <v>53</v>
      </c>
      <c r="I17" s="267">
        <f>+ROUND(⑤基本情報入力!L19,1)</f>
        <v>0</v>
      </c>
      <c r="J17" s="43">
        <f>+ROUND(⑤基本情報入力!V19,1)</f>
        <v>0</v>
      </c>
      <c r="K17" s="43">
        <f>+ROUND(⑤基本情報入力!AA19,1)</f>
        <v>0</v>
      </c>
      <c r="L17" s="43">
        <f>+ROUND(⑤基本情報入力!AF19,1)</f>
        <v>0</v>
      </c>
      <c r="M17" s="43">
        <f>+ROUND(⑤基本情報入力!AK19,1)</f>
        <v>0</v>
      </c>
      <c r="N17" s="43">
        <f>+ROUND(⑤基本情報入力!AP19,1)</f>
        <v>0</v>
      </c>
      <c r="O17" s="43">
        <f>+ROUND(⑤基本情報入力!AU19,1)</f>
        <v>0</v>
      </c>
      <c r="P17" s="43">
        <f>+ROUND(⑤基本情報入力!L36,1)</f>
        <v>0</v>
      </c>
      <c r="Q17" s="43">
        <f>+ROUND(⑤基本情報入力!Q36,1)</f>
        <v>0</v>
      </c>
      <c r="R17" s="43">
        <f>+ROUND(⑤基本情報入力!V36,1)</f>
        <v>0</v>
      </c>
      <c r="S17" s="43">
        <f>+ROUND(⑤基本情報入力!AA36,1)</f>
        <v>0</v>
      </c>
      <c r="T17" s="43">
        <f>+ROUND(⑤基本情報入力!AF36,1)</f>
        <v>0</v>
      </c>
      <c r="U17" s="43">
        <f>+ROUND(⑤基本情報入力!AK36,1)</f>
        <v>0</v>
      </c>
      <c r="V17" s="43">
        <f>+ROUND(⑤基本情報入力!AP36,1)</f>
        <v>0</v>
      </c>
      <c r="W17" s="62">
        <f>+ROUND(⑤基本情報入力!AU36,1)</f>
        <v>0</v>
      </c>
      <c r="X17" s="26" t="e">
        <f>+ROUND(X30/X13*100,1)</f>
        <v>#DIV/0!</v>
      </c>
      <c r="Y17" s="22"/>
    </row>
    <row r="18" spans="2:28" ht="15.75">
      <c r="B18" s="460" t="s">
        <v>400</v>
      </c>
      <c r="C18" s="1325"/>
      <c r="D18" s="1325"/>
      <c r="E18" s="1338"/>
      <c r="F18" s="478" t="s">
        <v>74</v>
      </c>
      <c r="G18" s="170" t="s">
        <v>50</v>
      </c>
      <c r="H18" s="458" t="s">
        <v>423</v>
      </c>
      <c r="I18" s="43">
        <f>+ROUND(⑤基本情報入力!L20,1)</f>
        <v>0</v>
      </c>
      <c r="J18" s="43">
        <f>+ROUND(⑤基本情報入力!V20,1)</f>
        <v>0</v>
      </c>
      <c r="K18" s="43">
        <f>+ROUND(⑤基本情報入力!AA20,1)</f>
        <v>0</v>
      </c>
      <c r="L18" s="43">
        <f>+ROUND(⑤基本情報入力!AF20,1)</f>
        <v>0</v>
      </c>
      <c r="M18" s="43">
        <f>+ROUND(⑤基本情報入力!AK20,1)</f>
        <v>0</v>
      </c>
      <c r="N18" s="43">
        <f>+ROUND(⑤基本情報入力!AP20,1)</f>
        <v>0</v>
      </c>
      <c r="O18" s="43">
        <f>+ROUND(⑤基本情報入力!AU20,1)</f>
        <v>0</v>
      </c>
      <c r="P18" s="43">
        <f>+ROUND(⑤基本情報入力!L37,1)</f>
        <v>0</v>
      </c>
      <c r="Q18" s="43">
        <f>+ROUND(⑤基本情報入力!Q37,1)</f>
        <v>0</v>
      </c>
      <c r="R18" s="43">
        <f>+ROUND(⑤基本情報入力!V37,1)</f>
        <v>0</v>
      </c>
      <c r="S18" s="43">
        <f>+ROUND(⑤基本情報入力!AA37,1)</f>
        <v>0</v>
      </c>
      <c r="T18" s="43">
        <f>+ROUND(⑤基本情報入力!AF37,1)</f>
        <v>0</v>
      </c>
      <c r="U18" s="43">
        <f>+ROUND(⑤基本情報入力!AK37,1)</f>
        <v>0</v>
      </c>
      <c r="V18" s="43">
        <f>+ROUND(⑤基本情報入力!AP37,1)</f>
        <v>0</v>
      </c>
      <c r="W18" s="62">
        <f>+ROUND(⑤基本情報入力!AU37,1)</f>
        <v>0</v>
      </c>
      <c r="X18" s="26" t="e">
        <f>+ROUND(X33/X30/1000,2)</f>
        <v>#DIV/0!</v>
      </c>
      <c r="Y18" s="22"/>
    </row>
    <row r="19" spans="2:28" ht="15.75">
      <c r="B19" s="460" t="s">
        <v>401</v>
      </c>
      <c r="C19" s="1325"/>
      <c r="D19" s="1325"/>
      <c r="E19" s="1338"/>
      <c r="F19" s="477" t="s">
        <v>75</v>
      </c>
      <c r="G19" s="170" t="s">
        <v>79</v>
      </c>
      <c r="H19" s="458" t="s">
        <v>221</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v>35739</v>
      </c>
      <c r="Y19" s="1353" t="s">
        <v>579</v>
      </c>
    </row>
    <row r="20" spans="2:28">
      <c r="B20" s="460" t="s">
        <v>402</v>
      </c>
      <c r="C20" s="1325"/>
      <c r="D20" s="1325"/>
      <c r="E20" s="1338"/>
      <c r="F20" s="478" t="s">
        <v>76</v>
      </c>
      <c r="G20" s="170" t="s">
        <v>50</v>
      </c>
      <c r="H20" s="458"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v>60</v>
      </c>
      <c r="Y20" s="1354"/>
      <c r="AB20" s="24"/>
    </row>
    <row r="21" spans="2:28" ht="15.75">
      <c r="B21" s="460" t="s">
        <v>403</v>
      </c>
      <c r="C21" s="1325"/>
      <c r="D21" s="1325"/>
      <c r="E21" s="1339"/>
      <c r="F21" s="478" t="s">
        <v>77</v>
      </c>
      <c r="G21" s="182" t="s">
        <v>374</v>
      </c>
      <c r="H21" s="458" t="s">
        <v>221</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54"/>
    </row>
    <row r="22" spans="2:28">
      <c r="B22" s="460" t="s">
        <v>404</v>
      </c>
      <c r="C22" s="1325"/>
      <c r="D22" s="1325"/>
      <c r="E22" s="1340" t="s">
        <v>106</v>
      </c>
      <c r="F22" s="479" t="s">
        <v>104</v>
      </c>
      <c r="G22" s="170" t="s">
        <v>50</v>
      </c>
      <c r="H22" s="458"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v>35</v>
      </c>
      <c r="Y22" s="1354"/>
    </row>
    <row r="23" spans="2:28">
      <c r="B23" s="460" t="s">
        <v>405</v>
      </c>
      <c r="C23" s="1325"/>
      <c r="D23" s="1325"/>
      <c r="E23" s="1341"/>
      <c r="F23" s="479" t="s">
        <v>105</v>
      </c>
      <c r="G23" s="170" t="s">
        <v>50</v>
      </c>
      <c r="H23" s="458"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v>10</v>
      </c>
      <c r="Y23" s="1354"/>
    </row>
    <row r="24" spans="2:28">
      <c r="B24" s="460" t="s">
        <v>406</v>
      </c>
      <c r="C24" s="1325"/>
      <c r="D24" s="1347" t="s">
        <v>353</v>
      </c>
      <c r="E24" s="1344" t="s">
        <v>223</v>
      </c>
      <c r="F24" s="1345"/>
      <c r="G24" s="170" t="s">
        <v>50</v>
      </c>
      <c r="H24" s="458"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v>35</v>
      </c>
      <c r="Y24" s="1354"/>
    </row>
    <row r="25" spans="2:28">
      <c r="B25" s="460" t="s">
        <v>407</v>
      </c>
      <c r="C25" s="1325"/>
      <c r="D25" s="1348"/>
      <c r="E25" s="1344" t="s">
        <v>224</v>
      </c>
      <c r="F25" s="1345"/>
      <c r="G25" s="170" t="s">
        <v>50</v>
      </c>
      <c r="H25" s="458" t="s">
        <v>217</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v>0.93</v>
      </c>
      <c r="Y25" s="1354"/>
    </row>
    <row r="26" spans="2:28">
      <c r="B26" s="188" t="s">
        <v>408</v>
      </c>
      <c r="C26" s="1325"/>
      <c r="D26" s="1349"/>
      <c r="E26" s="168" t="s">
        <v>225</v>
      </c>
      <c r="F26" s="169"/>
      <c r="G26" s="170" t="s">
        <v>50</v>
      </c>
      <c r="H26" s="458"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v>50</v>
      </c>
      <c r="Y26" s="1354"/>
    </row>
    <row r="27" spans="2:28">
      <c r="B27" s="460" t="s">
        <v>409</v>
      </c>
      <c r="C27" s="1325"/>
      <c r="D27" s="462" t="s">
        <v>30</v>
      </c>
      <c r="E27" s="1344" t="s">
        <v>78</v>
      </c>
      <c r="F27" s="1345"/>
      <c r="G27" s="170" t="s">
        <v>50</v>
      </c>
      <c r="H27" s="458"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v>85</v>
      </c>
      <c r="Y27" s="1354"/>
    </row>
    <row r="28" spans="2:28">
      <c r="B28" s="460" t="s">
        <v>410</v>
      </c>
      <c r="C28" s="1325"/>
      <c r="D28" s="1350" t="s">
        <v>101</v>
      </c>
      <c r="E28" s="482" t="s">
        <v>102</v>
      </c>
      <c r="F28" s="483"/>
      <c r="G28" s="170" t="s">
        <v>50</v>
      </c>
      <c r="H28" s="458"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v>25</v>
      </c>
      <c r="Y28" s="1354"/>
    </row>
    <row r="29" spans="2:28" ht="14.25" thickBot="1">
      <c r="B29" s="194" t="s">
        <v>411</v>
      </c>
      <c r="C29" s="1335"/>
      <c r="D29" s="1327"/>
      <c r="E29" s="480" t="s">
        <v>103</v>
      </c>
      <c r="F29" s="481"/>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v>15</v>
      </c>
      <c r="Y29" s="1355"/>
    </row>
    <row r="30" spans="2:28">
      <c r="B30" s="262" t="s">
        <v>113</v>
      </c>
      <c r="C30" s="1334" t="s">
        <v>88</v>
      </c>
      <c r="D30" s="1334" t="s">
        <v>54</v>
      </c>
      <c r="E30" s="1352" t="s">
        <v>80</v>
      </c>
      <c r="F30" s="1352"/>
      <c r="G30" s="184" t="s">
        <v>375</v>
      </c>
      <c r="H30" s="263" t="s">
        <v>35</v>
      </c>
      <c r="I30" s="9">
        <f>ROUND(+I13*I17/100,2)</f>
        <v>0</v>
      </c>
      <c r="J30" s="9">
        <f>ROUND(+J13*J17/100,2)</f>
        <v>0</v>
      </c>
      <c r="K30" s="9">
        <f t="shared" ref="K30:W30" si="19">ROUND(+K13*K17/100,2)</f>
        <v>0</v>
      </c>
      <c r="L30" s="9">
        <f t="shared" si="19"/>
        <v>0</v>
      </c>
      <c r="M30" s="9">
        <f t="shared" si="19"/>
        <v>0</v>
      </c>
      <c r="N30" s="9">
        <f t="shared" si="19"/>
        <v>0</v>
      </c>
      <c r="O30" s="9">
        <f t="shared" si="19"/>
        <v>0</v>
      </c>
      <c r="P30" s="30">
        <f t="shared" si="19"/>
        <v>0</v>
      </c>
      <c r="Q30" s="9">
        <f t="shared" si="19"/>
        <v>0</v>
      </c>
      <c r="R30" s="9">
        <f t="shared" si="19"/>
        <v>0</v>
      </c>
      <c r="S30" s="9">
        <f t="shared" si="19"/>
        <v>0</v>
      </c>
      <c r="T30" s="9">
        <f t="shared" si="19"/>
        <v>0</v>
      </c>
      <c r="U30" s="9">
        <f t="shared" si="19"/>
        <v>0</v>
      </c>
      <c r="V30" s="9">
        <f t="shared" si="19"/>
        <v>0</v>
      </c>
      <c r="W30" s="308">
        <f t="shared" si="19"/>
        <v>0</v>
      </c>
      <c r="X30" s="30">
        <f t="shared" ref="X30:X39" si="20">+SUM(I30:V30)</f>
        <v>0</v>
      </c>
      <c r="Y30" s="20"/>
    </row>
    <row r="31" spans="2:28">
      <c r="B31" s="176" t="s">
        <v>114</v>
      </c>
      <c r="C31" s="1325"/>
      <c r="D31" s="1325"/>
      <c r="E31" s="1336" t="s">
        <v>81</v>
      </c>
      <c r="F31" s="465" t="s">
        <v>64</v>
      </c>
      <c r="G31" s="170" t="s">
        <v>376</v>
      </c>
      <c r="H31" s="458" t="s">
        <v>35</v>
      </c>
      <c r="I31" s="14">
        <f>+I13-I30</f>
        <v>0</v>
      </c>
      <c r="J31" s="14">
        <f>+J13-J30</f>
        <v>0</v>
      </c>
      <c r="K31" s="14">
        <f t="shared" ref="K31:W31" si="21">+K13-K30</f>
        <v>0</v>
      </c>
      <c r="L31" s="14">
        <f t="shared" si="21"/>
        <v>0</v>
      </c>
      <c r="M31" s="14">
        <f t="shared" si="21"/>
        <v>0</v>
      </c>
      <c r="N31" s="14">
        <f t="shared" si="21"/>
        <v>0</v>
      </c>
      <c r="O31" s="14">
        <f t="shared" si="21"/>
        <v>0</v>
      </c>
      <c r="P31" s="15">
        <f t="shared" si="21"/>
        <v>0</v>
      </c>
      <c r="Q31" s="14">
        <f t="shared" si="21"/>
        <v>0</v>
      </c>
      <c r="R31" s="14">
        <f t="shared" si="21"/>
        <v>0</v>
      </c>
      <c r="S31" s="14">
        <f t="shared" si="21"/>
        <v>0</v>
      </c>
      <c r="T31" s="14">
        <f t="shared" si="21"/>
        <v>0</v>
      </c>
      <c r="U31" s="14">
        <f t="shared" si="21"/>
        <v>0</v>
      </c>
      <c r="V31" s="14">
        <f t="shared" si="21"/>
        <v>0</v>
      </c>
      <c r="W31" s="210">
        <f t="shared" si="21"/>
        <v>0</v>
      </c>
      <c r="X31" s="15">
        <f t="shared" si="20"/>
        <v>0</v>
      </c>
      <c r="Y31" s="17"/>
    </row>
    <row r="32" spans="2:28">
      <c r="B32" s="460" t="s">
        <v>115</v>
      </c>
      <c r="C32" s="1325"/>
      <c r="D32" s="1325"/>
      <c r="E32" s="1336"/>
      <c r="F32" s="465" t="s">
        <v>62</v>
      </c>
      <c r="G32" s="170" t="s">
        <v>377</v>
      </c>
      <c r="H32" s="458" t="s">
        <v>162</v>
      </c>
      <c r="I32" s="14">
        <f>+I11-I30</f>
        <v>0</v>
      </c>
      <c r="J32" s="14">
        <f>+J11-J30</f>
        <v>0</v>
      </c>
      <c r="K32" s="14">
        <f t="shared" ref="K32:W32" si="22">+K11-K30</f>
        <v>0</v>
      </c>
      <c r="L32" s="14">
        <f t="shared" si="22"/>
        <v>0</v>
      </c>
      <c r="M32" s="14">
        <f t="shared" si="22"/>
        <v>0</v>
      </c>
      <c r="N32" s="14">
        <f t="shared" si="22"/>
        <v>0</v>
      </c>
      <c r="O32" s="14">
        <f t="shared" si="22"/>
        <v>0</v>
      </c>
      <c r="P32" s="15">
        <f t="shared" si="22"/>
        <v>0</v>
      </c>
      <c r="Q32" s="14">
        <f t="shared" si="22"/>
        <v>0</v>
      </c>
      <c r="R32" s="14">
        <f t="shared" si="22"/>
        <v>0</v>
      </c>
      <c r="S32" s="14">
        <f t="shared" si="22"/>
        <v>0</v>
      </c>
      <c r="T32" s="14">
        <f t="shared" si="22"/>
        <v>0</v>
      </c>
      <c r="U32" s="14">
        <f t="shared" si="22"/>
        <v>0</v>
      </c>
      <c r="V32" s="14">
        <f t="shared" si="22"/>
        <v>0</v>
      </c>
      <c r="W32" s="210">
        <f t="shared" si="22"/>
        <v>0</v>
      </c>
      <c r="X32" s="15">
        <f t="shared" si="20"/>
        <v>0</v>
      </c>
      <c r="Y32" s="17"/>
    </row>
    <row r="33" spans="2:25" s="279" customFormat="1" ht="13.5" customHeight="1">
      <c r="B33" s="273" t="s">
        <v>116</v>
      </c>
      <c r="C33" s="1325"/>
      <c r="D33" s="1325"/>
      <c r="E33" s="1336" t="s">
        <v>72</v>
      </c>
      <c r="F33" s="466" t="s">
        <v>82</v>
      </c>
      <c r="G33" s="280" t="s">
        <v>378</v>
      </c>
      <c r="H33" s="459" t="s">
        <v>424</v>
      </c>
      <c r="I33" s="275">
        <f>ROUND(+I30*I18*1000,2)</f>
        <v>0</v>
      </c>
      <c r="J33" s="275">
        <f>ROUND(+J30*J18*1000,2)</f>
        <v>0</v>
      </c>
      <c r="K33" s="275">
        <f t="shared" ref="K33:W33" si="23">ROUND(+K30*K18*1000,2)</f>
        <v>0</v>
      </c>
      <c r="L33" s="275">
        <f t="shared" si="23"/>
        <v>0</v>
      </c>
      <c r="M33" s="275">
        <f t="shared" si="23"/>
        <v>0</v>
      </c>
      <c r="N33" s="275">
        <f t="shared" si="23"/>
        <v>0</v>
      </c>
      <c r="O33" s="275">
        <f t="shared" si="23"/>
        <v>0</v>
      </c>
      <c r="P33" s="281">
        <f t="shared" si="23"/>
        <v>0</v>
      </c>
      <c r="Q33" s="275">
        <f t="shared" si="23"/>
        <v>0</v>
      </c>
      <c r="R33" s="275">
        <f t="shared" si="23"/>
        <v>0</v>
      </c>
      <c r="S33" s="275">
        <f>ROUND(+S30*S18*1000,2)</f>
        <v>0</v>
      </c>
      <c r="T33" s="275">
        <f t="shared" si="23"/>
        <v>0</v>
      </c>
      <c r="U33" s="275">
        <f t="shared" si="23"/>
        <v>0</v>
      </c>
      <c r="V33" s="275">
        <f t="shared" si="23"/>
        <v>0</v>
      </c>
      <c r="W33" s="306">
        <f t="shared" si="23"/>
        <v>0</v>
      </c>
      <c r="X33" s="281">
        <f>+SUM(I33:V33)</f>
        <v>0</v>
      </c>
      <c r="Y33" s="276"/>
    </row>
    <row r="34" spans="2:25">
      <c r="B34" s="460" t="s">
        <v>117</v>
      </c>
      <c r="C34" s="1325"/>
      <c r="D34" s="1325"/>
      <c r="E34" s="1336"/>
      <c r="F34" s="465" t="s">
        <v>83</v>
      </c>
      <c r="G34" s="170" t="s">
        <v>379</v>
      </c>
      <c r="H34" s="458" t="s">
        <v>90</v>
      </c>
      <c r="I34" s="14">
        <f>ROUND(+I21*I33/1000,2)</f>
        <v>0</v>
      </c>
      <c r="J34" s="14">
        <f>ROUND(+J21*J33/1000,2)</f>
        <v>0</v>
      </c>
      <c r="K34" s="14">
        <f t="shared" ref="K34:W34" si="24">ROUND(+K21*K33/1000,2)</f>
        <v>0</v>
      </c>
      <c r="L34" s="14">
        <f t="shared" si="24"/>
        <v>0</v>
      </c>
      <c r="M34" s="14">
        <f t="shared" si="24"/>
        <v>0</v>
      </c>
      <c r="N34" s="14">
        <f t="shared" si="24"/>
        <v>0</v>
      </c>
      <c r="O34" s="14">
        <f t="shared" si="24"/>
        <v>0</v>
      </c>
      <c r="P34" s="15">
        <f t="shared" si="24"/>
        <v>0</v>
      </c>
      <c r="Q34" s="14">
        <f t="shared" si="24"/>
        <v>0</v>
      </c>
      <c r="R34" s="14">
        <f t="shared" si="24"/>
        <v>0</v>
      </c>
      <c r="S34" s="14">
        <f t="shared" si="24"/>
        <v>0</v>
      </c>
      <c r="T34" s="14">
        <f t="shared" si="24"/>
        <v>0</v>
      </c>
      <c r="U34" s="14">
        <f t="shared" si="24"/>
        <v>0</v>
      </c>
      <c r="V34" s="14">
        <f t="shared" si="24"/>
        <v>0</v>
      </c>
      <c r="W34" s="210">
        <f t="shared" si="24"/>
        <v>0</v>
      </c>
      <c r="X34" s="15">
        <f t="shared" si="20"/>
        <v>0</v>
      </c>
      <c r="Y34" s="17"/>
    </row>
    <row r="35" spans="2:25">
      <c r="B35" s="460" t="s">
        <v>319</v>
      </c>
      <c r="C35" s="1325"/>
      <c r="D35" s="1351"/>
      <c r="E35" s="465" t="s">
        <v>106</v>
      </c>
      <c r="F35" s="465" t="s">
        <v>108</v>
      </c>
      <c r="G35" s="170" t="s">
        <v>380</v>
      </c>
      <c r="H35" s="458" t="s">
        <v>90</v>
      </c>
      <c r="I35" s="14">
        <f>+ROUND(I10*(I22-I23)*4.186,2)</f>
        <v>0</v>
      </c>
      <c r="J35" s="14">
        <f>+ROUND(J10*(J22-J23)*4.186,2)</f>
        <v>0</v>
      </c>
      <c r="K35" s="14">
        <f t="shared" ref="K35:W35" si="25">+ROUND(K10*(K22-K23)*4.186,2)</f>
        <v>0</v>
      </c>
      <c r="L35" s="14">
        <f t="shared" si="25"/>
        <v>0</v>
      </c>
      <c r="M35" s="14">
        <f t="shared" si="25"/>
        <v>0</v>
      </c>
      <c r="N35" s="14">
        <f t="shared" si="25"/>
        <v>0</v>
      </c>
      <c r="O35" s="14">
        <f t="shared" si="25"/>
        <v>0</v>
      </c>
      <c r="P35" s="14">
        <f t="shared" si="25"/>
        <v>0</v>
      </c>
      <c r="Q35" s="14">
        <f t="shared" si="25"/>
        <v>0</v>
      </c>
      <c r="R35" s="14">
        <f t="shared" si="25"/>
        <v>0</v>
      </c>
      <c r="S35" s="14">
        <f t="shared" si="25"/>
        <v>0</v>
      </c>
      <c r="T35" s="14">
        <f t="shared" si="25"/>
        <v>0</v>
      </c>
      <c r="U35" s="14">
        <f t="shared" si="25"/>
        <v>0</v>
      </c>
      <c r="V35" s="14">
        <f t="shared" si="25"/>
        <v>0</v>
      </c>
      <c r="W35" s="210">
        <f t="shared" si="25"/>
        <v>0</v>
      </c>
      <c r="X35" s="15">
        <f t="shared" si="20"/>
        <v>0</v>
      </c>
      <c r="Y35" s="17" t="s">
        <v>119</v>
      </c>
    </row>
    <row r="36" spans="2:25">
      <c r="B36" s="460" t="s">
        <v>320</v>
      </c>
      <c r="C36" s="1325"/>
      <c r="D36" s="1347" t="s">
        <v>354</v>
      </c>
      <c r="E36" s="1356" t="s">
        <v>355</v>
      </c>
      <c r="F36" s="1356"/>
      <c r="G36" s="170" t="s">
        <v>356</v>
      </c>
      <c r="H36" s="458" t="s">
        <v>357</v>
      </c>
      <c r="I36" s="187">
        <f>ROUND(+I34*I24/100/3.6,2)</f>
        <v>0</v>
      </c>
      <c r="J36" s="187">
        <f t="shared" ref="J36:W36" si="26">ROUND(+J34*J24/100/3.6,2)</f>
        <v>0</v>
      </c>
      <c r="K36" s="187">
        <f t="shared" si="26"/>
        <v>0</v>
      </c>
      <c r="L36" s="187">
        <f t="shared" si="26"/>
        <v>0</v>
      </c>
      <c r="M36" s="187">
        <f t="shared" si="26"/>
        <v>0</v>
      </c>
      <c r="N36" s="187">
        <f t="shared" si="26"/>
        <v>0</v>
      </c>
      <c r="O36" s="187">
        <f t="shared" si="26"/>
        <v>0</v>
      </c>
      <c r="P36" s="187">
        <f t="shared" si="26"/>
        <v>0</v>
      </c>
      <c r="Q36" s="187">
        <f t="shared" si="26"/>
        <v>0</v>
      </c>
      <c r="R36" s="187">
        <f t="shared" si="26"/>
        <v>0</v>
      </c>
      <c r="S36" s="187">
        <f>ROUND(+S34*S24/100/3.6,2)</f>
        <v>0</v>
      </c>
      <c r="T36" s="187">
        <f t="shared" si="26"/>
        <v>0</v>
      </c>
      <c r="U36" s="187">
        <f t="shared" si="26"/>
        <v>0</v>
      </c>
      <c r="V36" s="187">
        <f t="shared" si="26"/>
        <v>0</v>
      </c>
      <c r="W36" s="309">
        <f t="shared" si="26"/>
        <v>0</v>
      </c>
      <c r="X36" s="15">
        <f>SUM(I36:W36)</f>
        <v>0</v>
      </c>
      <c r="Y36" s="196" t="s">
        <v>412</v>
      </c>
    </row>
    <row r="37" spans="2:25">
      <c r="B37" s="460" t="s">
        <v>321</v>
      </c>
      <c r="C37" s="1325"/>
      <c r="D37" s="1348"/>
      <c r="E37" s="1356" t="s">
        <v>358</v>
      </c>
      <c r="F37" s="1356"/>
      <c r="G37" s="170" t="s">
        <v>359</v>
      </c>
      <c r="H37" s="458" t="s">
        <v>357</v>
      </c>
      <c r="I37" s="187">
        <f>ROUND(+I36*I25,2)</f>
        <v>0</v>
      </c>
      <c r="J37" s="187">
        <f t="shared" ref="J37:W37" si="27">ROUND(+J36*J25,2)</f>
        <v>0</v>
      </c>
      <c r="K37" s="187">
        <f t="shared" si="27"/>
        <v>0</v>
      </c>
      <c r="L37" s="187">
        <f t="shared" si="27"/>
        <v>0</v>
      </c>
      <c r="M37" s="187">
        <f t="shared" si="27"/>
        <v>0</v>
      </c>
      <c r="N37" s="187">
        <f t="shared" si="27"/>
        <v>0</v>
      </c>
      <c r="O37" s="187">
        <f t="shared" si="27"/>
        <v>0</v>
      </c>
      <c r="P37" s="187">
        <f t="shared" si="27"/>
        <v>0</v>
      </c>
      <c r="Q37" s="187">
        <f t="shared" si="27"/>
        <v>0</v>
      </c>
      <c r="R37" s="187">
        <f t="shared" si="27"/>
        <v>0</v>
      </c>
      <c r="S37" s="187">
        <f t="shared" si="27"/>
        <v>0</v>
      </c>
      <c r="T37" s="187">
        <f t="shared" si="27"/>
        <v>0</v>
      </c>
      <c r="U37" s="187">
        <f t="shared" si="27"/>
        <v>0</v>
      </c>
      <c r="V37" s="187">
        <f t="shared" si="27"/>
        <v>0</v>
      </c>
      <c r="W37" s="309">
        <f t="shared" si="27"/>
        <v>0</v>
      </c>
      <c r="X37" s="15">
        <f>SUM(I37:W37)</f>
        <v>0</v>
      </c>
      <c r="Y37" s="1342"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60" t="s">
        <v>322</v>
      </c>
      <c r="C38" s="1325"/>
      <c r="D38" s="1349"/>
      <c r="E38" s="1344" t="s">
        <v>360</v>
      </c>
      <c r="F38" s="1345"/>
      <c r="G38" s="170" t="s">
        <v>361</v>
      </c>
      <c r="H38" s="458" t="s">
        <v>90</v>
      </c>
      <c r="I38" s="187">
        <f>+ROUND(I34*I26/100,2)</f>
        <v>0</v>
      </c>
      <c r="J38" s="187">
        <f t="shared" ref="J38:W38" si="28">+ROUND(J34*J26/100,2)</f>
        <v>0</v>
      </c>
      <c r="K38" s="187">
        <f t="shared" si="28"/>
        <v>0</v>
      </c>
      <c r="L38" s="187">
        <f t="shared" si="28"/>
        <v>0</v>
      </c>
      <c r="M38" s="187">
        <f t="shared" si="28"/>
        <v>0</v>
      </c>
      <c r="N38" s="187">
        <f t="shared" si="28"/>
        <v>0</v>
      </c>
      <c r="O38" s="187">
        <f t="shared" si="28"/>
        <v>0</v>
      </c>
      <c r="P38" s="187">
        <f t="shared" si="28"/>
        <v>0</v>
      </c>
      <c r="Q38" s="187">
        <f t="shared" si="28"/>
        <v>0</v>
      </c>
      <c r="R38" s="187">
        <f t="shared" si="28"/>
        <v>0</v>
      </c>
      <c r="S38" s="187">
        <f t="shared" si="28"/>
        <v>0</v>
      </c>
      <c r="T38" s="187">
        <f t="shared" si="28"/>
        <v>0</v>
      </c>
      <c r="U38" s="187">
        <f t="shared" si="28"/>
        <v>0</v>
      </c>
      <c r="V38" s="187">
        <f t="shared" si="28"/>
        <v>0</v>
      </c>
      <c r="W38" s="309">
        <f t="shared" si="28"/>
        <v>0</v>
      </c>
      <c r="X38" s="15">
        <f>SUM(I38:W39)</f>
        <v>0</v>
      </c>
      <c r="Y38" s="1343"/>
    </row>
    <row r="39" spans="2:25">
      <c r="B39" s="460" t="s">
        <v>323</v>
      </c>
      <c r="C39" s="1325"/>
      <c r="D39" s="1308" t="s">
        <v>30</v>
      </c>
      <c r="E39" s="1336" t="s">
        <v>29</v>
      </c>
      <c r="F39" s="1336"/>
      <c r="G39" s="170" t="str">
        <f>"=c"</f>
        <v>=c</v>
      </c>
      <c r="H39" s="458" t="s">
        <v>0</v>
      </c>
      <c r="I39" s="14">
        <f>+I10</f>
        <v>0</v>
      </c>
      <c r="J39" s="14">
        <f>+J10</f>
        <v>0</v>
      </c>
      <c r="K39" s="14">
        <f t="shared" ref="K39:U39" si="29">+K10</f>
        <v>0</v>
      </c>
      <c r="L39" s="14">
        <f t="shared" si="29"/>
        <v>0</v>
      </c>
      <c r="M39" s="14">
        <f t="shared" si="29"/>
        <v>0</v>
      </c>
      <c r="N39" s="14">
        <f t="shared" si="29"/>
        <v>0</v>
      </c>
      <c r="O39" s="14">
        <f t="shared" si="29"/>
        <v>0</v>
      </c>
      <c r="P39" s="14">
        <f t="shared" si="29"/>
        <v>0</v>
      </c>
      <c r="Q39" s="14">
        <f t="shared" si="29"/>
        <v>0</v>
      </c>
      <c r="R39" s="14">
        <f t="shared" si="29"/>
        <v>0</v>
      </c>
      <c r="S39" s="14">
        <f t="shared" si="29"/>
        <v>0</v>
      </c>
      <c r="T39" s="14">
        <f>+T10</f>
        <v>0</v>
      </c>
      <c r="U39" s="14">
        <f t="shared" si="29"/>
        <v>0</v>
      </c>
      <c r="V39" s="14">
        <f>+V10</f>
        <v>0</v>
      </c>
      <c r="W39" s="210">
        <f>+W10</f>
        <v>0</v>
      </c>
      <c r="X39" s="15">
        <f t="shared" si="20"/>
        <v>0</v>
      </c>
      <c r="Y39" s="259"/>
    </row>
    <row r="40" spans="2:25">
      <c r="B40" s="460" t="s">
        <v>324</v>
      </c>
      <c r="C40" s="1325"/>
      <c r="D40" s="1308"/>
      <c r="E40" s="1336" t="s">
        <v>84</v>
      </c>
      <c r="F40" s="1336"/>
      <c r="G40" s="170" t="s">
        <v>381</v>
      </c>
      <c r="H40" s="458" t="s">
        <v>53</v>
      </c>
      <c r="I40" s="14">
        <f>IF(I39=0,0,ROUND(+I32/I39*100,2))</f>
        <v>0</v>
      </c>
      <c r="J40" s="14">
        <f>IF(J39=0,0,ROUND(+J32/J39*100,2))</f>
        <v>0</v>
      </c>
      <c r="K40" s="14">
        <f t="shared" ref="K40:W40" si="30">IF(K39=0,0,ROUND(+K32/K39*100,2))</f>
        <v>0</v>
      </c>
      <c r="L40" s="14">
        <f t="shared" si="30"/>
        <v>0</v>
      </c>
      <c r="M40" s="14">
        <f t="shared" si="30"/>
        <v>0</v>
      </c>
      <c r="N40" s="14">
        <f t="shared" si="30"/>
        <v>0</v>
      </c>
      <c r="O40" s="14">
        <f t="shared" si="30"/>
        <v>0</v>
      </c>
      <c r="P40" s="14">
        <f t="shared" si="30"/>
        <v>0</v>
      </c>
      <c r="Q40" s="14">
        <f>IF(Q39=0,0,ROUND(+Q32/Q39*100,2))</f>
        <v>0</v>
      </c>
      <c r="R40" s="14">
        <f t="shared" si="30"/>
        <v>0</v>
      </c>
      <c r="S40" s="14">
        <f t="shared" si="30"/>
        <v>0</v>
      </c>
      <c r="T40" s="14">
        <f t="shared" si="30"/>
        <v>0</v>
      </c>
      <c r="U40" s="14">
        <f>IF(U39=0,0,ROUND(+U32/U39*100,2))</f>
        <v>0</v>
      </c>
      <c r="V40" s="14">
        <f t="shared" si="30"/>
        <v>0</v>
      </c>
      <c r="W40" s="210">
        <f t="shared" si="30"/>
        <v>0</v>
      </c>
      <c r="X40" s="15">
        <f>IF(X39=0,0,ROUND(+X32/X39*100,2))</f>
        <v>0</v>
      </c>
      <c r="Y40" s="259"/>
    </row>
    <row r="41" spans="2:25" s="279" customFormat="1">
      <c r="B41" s="273" t="s">
        <v>325</v>
      </c>
      <c r="C41" s="1325"/>
      <c r="D41" s="1308"/>
      <c r="E41" s="1346" t="s">
        <v>85</v>
      </c>
      <c r="F41" s="1346"/>
      <c r="G41" s="280" t="s">
        <v>382</v>
      </c>
      <c r="H41" s="459" t="s">
        <v>0</v>
      </c>
      <c r="I41" s="275">
        <f>ROUND(+I32/(1-I27/100),2)</f>
        <v>0</v>
      </c>
      <c r="J41" s="275">
        <f>ROUND(+J32/(1-J27/100),2)</f>
        <v>0</v>
      </c>
      <c r="K41" s="275">
        <f t="shared" ref="K41:W41" si="31">ROUND(+K32/(1-K27/100),2)</f>
        <v>0</v>
      </c>
      <c r="L41" s="275">
        <f t="shared" si="31"/>
        <v>0</v>
      </c>
      <c r="M41" s="275">
        <f t="shared" si="31"/>
        <v>0</v>
      </c>
      <c r="N41" s="275">
        <f t="shared" si="31"/>
        <v>0</v>
      </c>
      <c r="O41" s="275">
        <f t="shared" si="31"/>
        <v>0</v>
      </c>
      <c r="P41" s="281">
        <f t="shared" si="31"/>
        <v>0</v>
      </c>
      <c r="Q41" s="275">
        <f t="shared" si="31"/>
        <v>0</v>
      </c>
      <c r="R41" s="275">
        <f t="shared" si="31"/>
        <v>0</v>
      </c>
      <c r="S41" s="275">
        <f t="shared" si="31"/>
        <v>0</v>
      </c>
      <c r="T41" s="275">
        <f t="shared" si="31"/>
        <v>0</v>
      </c>
      <c r="U41" s="275">
        <f>ROUND(+U32/(1-U27/100),2)</f>
        <v>0</v>
      </c>
      <c r="V41" s="275">
        <f t="shared" si="31"/>
        <v>0</v>
      </c>
      <c r="W41" s="306">
        <f t="shared" si="31"/>
        <v>0</v>
      </c>
      <c r="X41" s="281">
        <f t="shared" ref="X41:X47" si="32">+SUM(I41:V41)</f>
        <v>0</v>
      </c>
      <c r="Y41" s="282"/>
    </row>
    <row r="42" spans="2:25">
      <c r="B42" s="460" t="s">
        <v>326</v>
      </c>
      <c r="C42" s="1325"/>
      <c r="D42" s="1308"/>
      <c r="E42" s="1336" t="s">
        <v>86</v>
      </c>
      <c r="F42" s="1336"/>
      <c r="G42" s="170" t="str">
        <f>"=③"</f>
        <v>=③</v>
      </c>
      <c r="H42" s="458" t="s">
        <v>38</v>
      </c>
      <c r="I42" s="14">
        <f>+I32</f>
        <v>0</v>
      </c>
      <c r="J42" s="14">
        <f>+J32</f>
        <v>0</v>
      </c>
      <c r="K42" s="14">
        <f t="shared" ref="K42:W42" si="33">+K32</f>
        <v>0</v>
      </c>
      <c r="L42" s="14">
        <f t="shared" si="33"/>
        <v>0</v>
      </c>
      <c r="M42" s="14">
        <f t="shared" si="33"/>
        <v>0</v>
      </c>
      <c r="N42" s="14">
        <f t="shared" si="33"/>
        <v>0</v>
      </c>
      <c r="O42" s="14">
        <f t="shared" si="33"/>
        <v>0</v>
      </c>
      <c r="P42" s="15">
        <f t="shared" si="33"/>
        <v>0</v>
      </c>
      <c r="Q42" s="14">
        <f t="shared" si="33"/>
        <v>0</v>
      </c>
      <c r="R42" s="14">
        <f t="shared" si="33"/>
        <v>0</v>
      </c>
      <c r="S42" s="14">
        <f t="shared" si="33"/>
        <v>0</v>
      </c>
      <c r="T42" s="14">
        <f t="shared" si="33"/>
        <v>0</v>
      </c>
      <c r="U42" s="14">
        <f t="shared" si="33"/>
        <v>0</v>
      </c>
      <c r="V42" s="14">
        <f t="shared" si="33"/>
        <v>0</v>
      </c>
      <c r="W42" s="210">
        <f t="shared" si="33"/>
        <v>0</v>
      </c>
      <c r="X42" s="15">
        <f t="shared" si="32"/>
        <v>0</v>
      </c>
      <c r="Y42" s="259"/>
    </row>
    <row r="43" spans="2:25" ht="15.75">
      <c r="B43" s="460" t="s">
        <v>327</v>
      </c>
      <c r="C43" s="1325"/>
      <c r="D43" s="1308"/>
      <c r="E43" s="1336" t="s">
        <v>87</v>
      </c>
      <c r="F43" s="1336"/>
      <c r="G43" s="185" t="s">
        <v>383</v>
      </c>
      <c r="H43" s="303" t="s">
        <v>243</v>
      </c>
      <c r="I43" s="51">
        <f>+I10-I41</f>
        <v>0</v>
      </c>
      <c r="J43" s="51">
        <f>+J10-J41</f>
        <v>0</v>
      </c>
      <c r="K43" s="51">
        <f t="shared" ref="K43:W43" si="34">+K10-K41</f>
        <v>0</v>
      </c>
      <c r="L43" s="51">
        <f t="shared" si="34"/>
        <v>0</v>
      </c>
      <c r="M43" s="51">
        <f t="shared" si="34"/>
        <v>0</v>
      </c>
      <c r="N43" s="51">
        <f t="shared" si="34"/>
        <v>0</v>
      </c>
      <c r="O43" s="51">
        <f t="shared" si="34"/>
        <v>0</v>
      </c>
      <c r="P43" s="15">
        <f t="shared" si="34"/>
        <v>0</v>
      </c>
      <c r="Q43" s="31">
        <f t="shared" si="34"/>
        <v>0</v>
      </c>
      <c r="R43" s="31">
        <f t="shared" si="34"/>
        <v>0</v>
      </c>
      <c r="S43" s="31">
        <f t="shared" si="34"/>
        <v>0</v>
      </c>
      <c r="T43" s="14">
        <f t="shared" si="34"/>
        <v>0</v>
      </c>
      <c r="U43" s="14">
        <f t="shared" si="34"/>
        <v>0</v>
      </c>
      <c r="V43" s="14">
        <f t="shared" si="34"/>
        <v>0</v>
      </c>
      <c r="W43" s="210">
        <f t="shared" si="34"/>
        <v>0</v>
      </c>
      <c r="X43" s="15">
        <f t="shared" si="32"/>
        <v>0</v>
      </c>
      <c r="Y43" s="259"/>
    </row>
    <row r="44" spans="2:25">
      <c r="B44" s="176" t="s">
        <v>337</v>
      </c>
      <c r="C44" s="1325"/>
      <c r="D44" s="1308" t="s">
        <v>101</v>
      </c>
      <c r="E44" s="1330" t="s">
        <v>109</v>
      </c>
      <c r="F44" s="1330"/>
      <c r="G44" s="170" t="s">
        <v>384</v>
      </c>
      <c r="H44" s="458" t="s">
        <v>0</v>
      </c>
      <c r="I44" s="11">
        <f>+ROUND(I42/(1-I28/100),2)</f>
        <v>0</v>
      </c>
      <c r="J44" s="11">
        <f>+ROUND(J42/(1-J28/100),2)</f>
        <v>0</v>
      </c>
      <c r="K44" s="11">
        <f t="shared" ref="K44:W44" si="35">+ROUND(K42/(1-K28/100),2)</f>
        <v>0</v>
      </c>
      <c r="L44" s="11">
        <f t="shared" si="35"/>
        <v>0</v>
      </c>
      <c r="M44" s="11">
        <f t="shared" si="35"/>
        <v>0</v>
      </c>
      <c r="N44" s="11">
        <f t="shared" si="35"/>
        <v>0</v>
      </c>
      <c r="O44" s="11">
        <f t="shared" si="35"/>
        <v>0</v>
      </c>
      <c r="P44" s="10">
        <f t="shared" si="35"/>
        <v>0</v>
      </c>
      <c r="Q44" s="11">
        <f t="shared" si="35"/>
        <v>0</v>
      </c>
      <c r="R44" s="11">
        <f t="shared" si="35"/>
        <v>0</v>
      </c>
      <c r="S44" s="11">
        <f t="shared" si="35"/>
        <v>0</v>
      </c>
      <c r="T44" s="11">
        <f t="shared" si="35"/>
        <v>0</v>
      </c>
      <c r="U44" s="11">
        <f t="shared" si="35"/>
        <v>0</v>
      </c>
      <c r="V44" s="11">
        <f t="shared" si="35"/>
        <v>0</v>
      </c>
      <c r="W44" s="211">
        <f t="shared" si="35"/>
        <v>0</v>
      </c>
      <c r="X44" s="10">
        <f t="shared" si="32"/>
        <v>0</v>
      </c>
      <c r="Y44" s="260"/>
    </row>
    <row r="45" spans="2:25">
      <c r="B45" s="460" t="s">
        <v>362</v>
      </c>
      <c r="C45" s="1325"/>
      <c r="D45" s="1308"/>
      <c r="E45" s="1336" t="s">
        <v>110</v>
      </c>
      <c r="F45" s="1336"/>
      <c r="G45" s="170" t="str">
        <f>"=⑬"</f>
        <v>=⑬</v>
      </c>
      <c r="H45" s="458" t="s">
        <v>38</v>
      </c>
      <c r="I45" s="14">
        <f>+I42</f>
        <v>0</v>
      </c>
      <c r="J45" s="14">
        <f>+J42</f>
        <v>0</v>
      </c>
      <c r="K45" s="14">
        <f t="shared" ref="K45:W45" si="36">+K42</f>
        <v>0</v>
      </c>
      <c r="L45" s="14">
        <f t="shared" si="36"/>
        <v>0</v>
      </c>
      <c r="M45" s="14">
        <f t="shared" si="36"/>
        <v>0</v>
      </c>
      <c r="N45" s="14">
        <f t="shared" si="36"/>
        <v>0</v>
      </c>
      <c r="O45" s="14">
        <f t="shared" si="36"/>
        <v>0</v>
      </c>
      <c r="P45" s="15">
        <f t="shared" si="36"/>
        <v>0</v>
      </c>
      <c r="Q45" s="14">
        <f t="shared" si="36"/>
        <v>0</v>
      </c>
      <c r="R45" s="14">
        <f t="shared" si="36"/>
        <v>0</v>
      </c>
      <c r="S45" s="16">
        <f t="shared" si="36"/>
        <v>0</v>
      </c>
      <c r="T45" s="16">
        <f t="shared" si="36"/>
        <v>0</v>
      </c>
      <c r="U45" s="16">
        <f t="shared" si="36"/>
        <v>0</v>
      </c>
      <c r="V45" s="16">
        <f t="shared" si="36"/>
        <v>0</v>
      </c>
      <c r="W45" s="210">
        <f t="shared" si="36"/>
        <v>0</v>
      </c>
      <c r="X45" s="15">
        <f t="shared" si="32"/>
        <v>0</v>
      </c>
      <c r="Y45" s="259"/>
    </row>
    <row r="46" spans="2:25">
      <c r="B46" s="460" t="s">
        <v>363</v>
      </c>
      <c r="C46" s="1325"/>
      <c r="D46" s="1308"/>
      <c r="E46" s="1336" t="s">
        <v>111</v>
      </c>
      <c r="F46" s="1336"/>
      <c r="G46" s="170" t="s">
        <v>385</v>
      </c>
      <c r="H46" s="458" t="s">
        <v>0</v>
      </c>
      <c r="I46" s="14">
        <f>+I41-I44</f>
        <v>0</v>
      </c>
      <c r="J46" s="14">
        <f>+J41-J44</f>
        <v>0</v>
      </c>
      <c r="K46" s="14">
        <f t="shared" ref="K46:O46" si="37">+K41-K44</f>
        <v>0</v>
      </c>
      <c r="L46" s="14">
        <f t="shared" si="37"/>
        <v>0</v>
      </c>
      <c r="M46" s="14">
        <f t="shared" si="37"/>
        <v>0</v>
      </c>
      <c r="N46" s="14">
        <f t="shared" si="37"/>
        <v>0</v>
      </c>
      <c r="O46" s="14">
        <f t="shared" si="37"/>
        <v>0</v>
      </c>
      <c r="P46" s="15">
        <f>+P41-P44</f>
        <v>0</v>
      </c>
      <c r="Q46" s="14">
        <f t="shared" ref="Q46:R46" si="38">+Q41-Q44</f>
        <v>0</v>
      </c>
      <c r="R46" s="14">
        <f t="shared" si="38"/>
        <v>0</v>
      </c>
      <c r="S46" s="16">
        <f>+S41-S44</f>
        <v>0</v>
      </c>
      <c r="T46" s="16">
        <f t="shared" ref="T46:W46" si="39">+T41-T44</f>
        <v>0</v>
      </c>
      <c r="U46" s="16">
        <f t="shared" si="39"/>
        <v>0</v>
      </c>
      <c r="V46" s="16">
        <f t="shared" si="39"/>
        <v>0</v>
      </c>
      <c r="W46" s="210">
        <f t="shared" si="39"/>
        <v>0</v>
      </c>
      <c r="X46" s="15">
        <f t="shared" si="32"/>
        <v>0</v>
      </c>
      <c r="Y46" s="259"/>
    </row>
    <row r="47" spans="2:25" ht="40.5">
      <c r="B47" s="460" t="s">
        <v>364</v>
      </c>
      <c r="C47" s="1325"/>
      <c r="D47" s="1308"/>
      <c r="E47" s="1336" t="s">
        <v>108</v>
      </c>
      <c r="F47" s="1336"/>
      <c r="G47" s="186" t="s">
        <v>386</v>
      </c>
      <c r="H47" s="458" t="s">
        <v>90</v>
      </c>
      <c r="I47" s="14">
        <f>+ROUND((100-I29)*(I41-I45)*4.186+I46*2258+(100-I29)*I45*0.3*4.184,2)</f>
        <v>0</v>
      </c>
      <c r="J47" s="14">
        <f>+ROUND((100-J29)*(J41-J45)*4.186+J46*2258+(100-J29)*J45*0.3*4.184,2)</f>
        <v>0</v>
      </c>
      <c r="K47" s="14">
        <f t="shared" ref="K47:O47" si="40">+ROUND((100-K29)*(K41-K45)*4.186+K46*2258+(100-K29)*K45*0.3*4.184,2)</f>
        <v>0</v>
      </c>
      <c r="L47" s="14">
        <f t="shared" si="40"/>
        <v>0</v>
      </c>
      <c r="M47" s="14">
        <f t="shared" si="40"/>
        <v>0</v>
      </c>
      <c r="N47" s="14">
        <f t="shared" si="40"/>
        <v>0</v>
      </c>
      <c r="O47" s="14">
        <f t="shared" si="40"/>
        <v>0</v>
      </c>
      <c r="P47" s="15">
        <f>+ROUND((100-P29)*(P41-P45)*4.186+P46*2258+(100-P29)*P45*0.3*4.184,2)</f>
        <v>0</v>
      </c>
      <c r="Q47" s="14">
        <f t="shared" ref="Q47:W47" si="41">+ROUND((100-Q29)*(Q41-Q45)*4.186+Q46*2258+(100-Q29)*Q45*0.3*4.184,2)</f>
        <v>0</v>
      </c>
      <c r="R47" s="14">
        <f t="shared" si="41"/>
        <v>0</v>
      </c>
      <c r="S47" s="16">
        <f t="shared" si="41"/>
        <v>0</v>
      </c>
      <c r="T47" s="16">
        <f t="shared" si="41"/>
        <v>0</v>
      </c>
      <c r="U47" s="16">
        <f t="shared" si="41"/>
        <v>0</v>
      </c>
      <c r="V47" s="16">
        <f t="shared" si="41"/>
        <v>0</v>
      </c>
      <c r="W47" s="210">
        <f t="shared" si="41"/>
        <v>0</v>
      </c>
      <c r="X47" s="15">
        <f t="shared" si="32"/>
        <v>0</v>
      </c>
      <c r="Y47" s="261" t="s">
        <v>112</v>
      </c>
    </row>
    <row r="48" spans="2:25">
      <c r="B48" s="188" t="s">
        <v>365</v>
      </c>
      <c r="C48" s="1325"/>
      <c r="D48" s="1347" t="s">
        <v>127</v>
      </c>
      <c r="E48" s="1337" t="s">
        <v>128</v>
      </c>
      <c r="F48" s="177" t="s">
        <v>369</v>
      </c>
      <c r="G48" s="178" t="s">
        <v>387</v>
      </c>
      <c r="H48" s="1347"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188" t="s">
        <v>366</v>
      </c>
      <c r="C49" s="1325"/>
      <c r="D49" s="1348"/>
      <c r="E49" s="1338"/>
      <c r="F49" s="179" t="s">
        <v>370</v>
      </c>
      <c r="G49" s="178" t="s">
        <v>388</v>
      </c>
      <c r="H49" s="1348"/>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0</v>
      </c>
      <c r="Y49" s="189"/>
    </row>
    <row r="50" spans="2:25">
      <c r="B50" s="188" t="s">
        <v>367</v>
      </c>
      <c r="C50" s="1325"/>
      <c r="D50" s="1348"/>
      <c r="E50" s="1338"/>
      <c r="F50" s="179" t="s">
        <v>371</v>
      </c>
      <c r="G50" s="178" t="s">
        <v>389</v>
      </c>
      <c r="H50" s="1348"/>
      <c r="I50" s="208">
        <f t="shared" ref="I50:W50" si="44">IFERROR(IF(I38&gt;=I35,IF((I35-I34-I38)/J48&lt;0,0,+ROUND((I35-I34-I38)/J48,0)),"-"),0)</f>
        <v>0</v>
      </c>
      <c r="J50" s="208">
        <f t="shared" si="44"/>
        <v>0</v>
      </c>
      <c r="K50" s="208">
        <f t="shared" si="44"/>
        <v>0</v>
      </c>
      <c r="L50" s="208">
        <f t="shared" si="44"/>
        <v>0</v>
      </c>
      <c r="M50" s="208">
        <f t="shared" si="44"/>
        <v>0</v>
      </c>
      <c r="N50" s="208">
        <f t="shared" si="44"/>
        <v>0</v>
      </c>
      <c r="O50" s="208">
        <f t="shared" si="44"/>
        <v>0</v>
      </c>
      <c r="P50" s="208">
        <f t="shared" si="44"/>
        <v>0</v>
      </c>
      <c r="Q50" s="208">
        <f t="shared" si="44"/>
        <v>0</v>
      </c>
      <c r="R50" s="208">
        <f t="shared" si="44"/>
        <v>0</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305" t="s">
        <v>368</v>
      </c>
      <c r="C51" s="1335"/>
      <c r="D51" s="1357"/>
      <c r="E51" s="1358"/>
      <c r="F51" s="180" t="s">
        <v>372</v>
      </c>
      <c r="G51" s="181" t="s">
        <v>373</v>
      </c>
      <c r="H51" s="1357"/>
      <c r="I51" s="209">
        <f t="shared" ref="I51:W51" si="45">IFERROR(IF(I38&gt;=I35,ROUND((I35+I47-I38)/J48,0),"-"),0)</f>
        <v>0</v>
      </c>
      <c r="J51" s="209">
        <f t="shared" si="45"/>
        <v>0</v>
      </c>
      <c r="K51" s="209">
        <f t="shared" si="45"/>
        <v>0</v>
      </c>
      <c r="L51" s="209">
        <f t="shared" si="45"/>
        <v>0</v>
      </c>
      <c r="M51" s="209">
        <f t="shared" si="45"/>
        <v>0</v>
      </c>
      <c r="N51" s="209">
        <f t="shared" si="45"/>
        <v>0</v>
      </c>
      <c r="O51" s="209">
        <f t="shared" si="45"/>
        <v>0</v>
      </c>
      <c r="P51" s="209">
        <f t="shared" si="45"/>
        <v>0</v>
      </c>
      <c r="Q51" s="209">
        <f t="shared" si="45"/>
        <v>0</v>
      </c>
      <c r="R51" s="209">
        <f t="shared" si="45"/>
        <v>0</v>
      </c>
      <c r="S51" s="209">
        <f t="shared" si="45"/>
        <v>0</v>
      </c>
      <c r="T51" s="209">
        <f t="shared" si="45"/>
        <v>0</v>
      </c>
      <c r="U51" s="209">
        <f t="shared" si="45"/>
        <v>0</v>
      </c>
      <c r="V51" s="209">
        <f t="shared" si="45"/>
        <v>0</v>
      </c>
      <c r="W51" s="312">
        <f t="shared" si="45"/>
        <v>0</v>
      </c>
      <c r="X51" s="209">
        <f>IFERROR(IF(X38&gt;=X35,ROUND((X35+X47-X38)/Y48,0),"-"),0)</f>
        <v>0</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59" t="s">
        <v>576</v>
      </c>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row>
    <row r="54" spans="2:25" ht="14.25" thickBot="1">
      <c r="B54" s="1360" t="s">
        <v>331</v>
      </c>
      <c r="C54" s="1361"/>
      <c r="D54" s="1361"/>
      <c r="E54" s="1361"/>
      <c r="F54" s="1361"/>
      <c r="G54" s="1361"/>
      <c r="H54" s="1361"/>
      <c r="I54" s="1361"/>
      <c r="J54" s="1361"/>
      <c r="K54" s="1361"/>
      <c r="L54" s="1361"/>
      <c r="M54" s="1361"/>
      <c r="N54" s="1361"/>
      <c r="O54" s="1361"/>
      <c r="P54" s="1361"/>
      <c r="Q54" s="1361"/>
      <c r="R54" s="1361"/>
      <c r="S54" s="1361"/>
      <c r="T54" s="1361"/>
      <c r="U54" s="1361"/>
      <c r="V54" s="1361"/>
      <c r="W54" s="1361"/>
      <c r="X54" s="1361"/>
      <c r="Y54" s="1362"/>
    </row>
    <row r="55" spans="2:25">
      <c r="B55" s="1305" t="str">
        <f>B4</f>
        <v>記号</v>
      </c>
      <c r="C55" s="1363" t="str">
        <f>C4</f>
        <v>項目</v>
      </c>
      <c r="D55" s="1363"/>
      <c r="E55" s="1363"/>
      <c r="F55" s="1363"/>
      <c r="G55" s="1364" t="str">
        <f t="shared" ref="G55:Y55" si="46">G4</f>
        <v>根拠</v>
      </c>
      <c r="H55" s="1363" t="str">
        <f t="shared" si="46"/>
        <v>単位</v>
      </c>
      <c r="I55" s="1311">
        <f t="shared" si="46"/>
        <v>0</v>
      </c>
      <c r="J55" s="1311">
        <f t="shared" si="46"/>
        <v>0</v>
      </c>
      <c r="K55" s="1311">
        <f t="shared" si="46"/>
        <v>0</v>
      </c>
      <c r="L55" s="1311">
        <f t="shared" si="46"/>
        <v>0</v>
      </c>
      <c r="M55" s="1311">
        <f t="shared" si="46"/>
        <v>0</v>
      </c>
      <c r="N55" s="1311">
        <f t="shared" si="46"/>
        <v>0</v>
      </c>
      <c r="O55" s="1311">
        <f t="shared" si="46"/>
        <v>0</v>
      </c>
      <c r="P55" s="1311">
        <f t="shared" si="46"/>
        <v>0</v>
      </c>
      <c r="Q55" s="1311">
        <f t="shared" si="46"/>
        <v>0</v>
      </c>
      <c r="R55" s="1311">
        <f t="shared" si="46"/>
        <v>0</v>
      </c>
      <c r="S55" s="1311">
        <f t="shared" si="46"/>
        <v>0</v>
      </c>
      <c r="T55" s="1311">
        <f t="shared" si="46"/>
        <v>0</v>
      </c>
      <c r="U55" s="1311">
        <f t="shared" si="46"/>
        <v>0</v>
      </c>
      <c r="V55" s="1311">
        <f t="shared" si="46"/>
        <v>0</v>
      </c>
      <c r="W55" s="1366">
        <f t="shared" si="46"/>
        <v>0</v>
      </c>
      <c r="X55" s="1368" t="str">
        <f t="shared" si="46"/>
        <v>総合</v>
      </c>
      <c r="Y55" s="1371" t="str">
        <f t="shared" si="46"/>
        <v>備考</v>
      </c>
    </row>
    <row r="56" spans="2:25">
      <c r="B56" s="1306"/>
      <c r="C56" s="1283"/>
      <c r="D56" s="1283"/>
      <c r="E56" s="1283"/>
      <c r="F56" s="1283"/>
      <c r="G56" s="1365"/>
      <c r="H56" s="1283"/>
      <c r="I56" s="1285"/>
      <c r="J56" s="1285"/>
      <c r="K56" s="1285"/>
      <c r="L56" s="1285"/>
      <c r="M56" s="1285"/>
      <c r="N56" s="1285"/>
      <c r="O56" s="1285"/>
      <c r="P56" s="1285"/>
      <c r="Q56" s="1285"/>
      <c r="R56" s="1285"/>
      <c r="S56" s="1285"/>
      <c r="T56" s="1285"/>
      <c r="U56" s="1285"/>
      <c r="V56" s="1285"/>
      <c r="W56" s="1367"/>
      <c r="X56" s="1369"/>
      <c r="Y56" s="1372"/>
    </row>
    <row r="57" spans="2:25" ht="13.5" customHeight="1">
      <c r="B57" s="1306"/>
      <c r="C57" s="1283"/>
      <c r="D57" s="1283"/>
      <c r="E57" s="1283"/>
      <c r="F57" s="1283"/>
      <c r="G57" s="1365"/>
      <c r="H57" s="1283"/>
      <c r="I57" s="1312" t="str">
        <f t="shared" ref="I57:W57" si="47">I6</f>
        <v>濃縮汚泥</v>
      </c>
      <c r="J57" s="1312">
        <f t="shared" si="47"/>
        <v>0</v>
      </c>
      <c r="K57" s="1312">
        <f t="shared" si="47"/>
        <v>0</v>
      </c>
      <c r="L57" s="1312">
        <f t="shared" si="47"/>
        <v>0</v>
      </c>
      <c r="M57" s="1312">
        <f t="shared" si="47"/>
        <v>0</v>
      </c>
      <c r="N57" s="1312">
        <f t="shared" si="47"/>
        <v>0</v>
      </c>
      <c r="O57" s="1312">
        <f t="shared" si="47"/>
        <v>0</v>
      </c>
      <c r="P57" s="1312" t="str">
        <f t="shared" si="47"/>
        <v>し尿</v>
      </c>
      <c r="Q57" s="1312" t="str">
        <f t="shared" si="47"/>
        <v>浄化槽汚泥</v>
      </c>
      <c r="R57" s="1375" t="str">
        <f t="shared" si="47"/>
        <v>集落排水汚泥</v>
      </c>
      <c r="S57" s="1312" t="str">
        <f t="shared" si="47"/>
        <v>生ごみ</v>
      </c>
      <c r="T57" s="1312">
        <f t="shared" si="47"/>
        <v>0</v>
      </c>
      <c r="U57" s="1312">
        <f t="shared" si="47"/>
        <v>0</v>
      </c>
      <c r="V57" s="1312">
        <f t="shared" si="47"/>
        <v>0</v>
      </c>
      <c r="W57" s="1374">
        <f t="shared" si="47"/>
        <v>0</v>
      </c>
      <c r="X57" s="1369"/>
      <c r="Y57" s="1372"/>
    </row>
    <row r="58" spans="2:25">
      <c r="B58" s="1306"/>
      <c r="C58" s="1283"/>
      <c r="D58" s="1283"/>
      <c r="E58" s="1283"/>
      <c r="F58" s="1283"/>
      <c r="G58" s="1365"/>
      <c r="H58" s="1283"/>
      <c r="I58" s="1312"/>
      <c r="J58" s="1312"/>
      <c r="K58" s="1312"/>
      <c r="L58" s="1312"/>
      <c r="M58" s="1312"/>
      <c r="N58" s="1312"/>
      <c r="O58" s="1312"/>
      <c r="P58" s="1312"/>
      <c r="Q58" s="1312"/>
      <c r="R58" s="1375"/>
      <c r="S58" s="1312"/>
      <c r="T58" s="1312"/>
      <c r="U58" s="1312"/>
      <c r="V58" s="1312"/>
      <c r="W58" s="1374"/>
      <c r="X58" s="1370"/>
      <c r="Y58" s="1373"/>
    </row>
    <row r="59" spans="2:25">
      <c r="B59" s="176" t="s">
        <v>390</v>
      </c>
      <c r="C59" s="1325" t="s">
        <v>70</v>
      </c>
      <c r="D59" s="1326" t="s">
        <v>56</v>
      </c>
      <c r="E59" s="1329" t="s">
        <v>57</v>
      </c>
      <c r="F59" s="375" t="s">
        <v>58</v>
      </c>
      <c r="G59" s="8" t="s">
        <v>50</v>
      </c>
      <c r="H59" s="374" t="s">
        <v>0</v>
      </c>
      <c r="I59" s="11">
        <f>ROUND(⑤基本情報入力!L14*⑤基本情報入力!L15,2)</f>
        <v>0</v>
      </c>
      <c r="J59" s="11">
        <f>ROUND(⑤基本情報入力!V14*⑤基本情報入力!V15,2)</f>
        <v>0</v>
      </c>
      <c r="K59" s="11">
        <f>ROUND(⑤基本情報入力!AA14*⑤基本情報入力!AA15,2)</f>
        <v>0</v>
      </c>
      <c r="L59" s="11">
        <f>ROUND(⑤基本情報入力!AF14*⑤基本情報入力!AF15,2)</f>
        <v>0</v>
      </c>
      <c r="M59" s="11">
        <f>ROUND(⑤基本情報入力!AK14*⑤基本情報入力!AK15,2)</f>
        <v>0</v>
      </c>
      <c r="N59" s="11">
        <f>ROUND(⑤基本情報入力!AP14*⑤基本情報入力!AP15,2)</f>
        <v>0</v>
      </c>
      <c r="O59" s="11">
        <f>ROUND(⑤基本情報入力!AU14*⑤基本情報入力!AU15,2)</f>
        <v>0</v>
      </c>
      <c r="P59" s="11">
        <f>ROUND(⑤基本情報入力!L31*⑤基本情報入力!L32,2)</f>
        <v>0</v>
      </c>
      <c r="Q59" s="11">
        <f>ROUND(⑤基本情報入力!Q31*⑤基本情報入力!Q32,2)</f>
        <v>0</v>
      </c>
      <c r="R59" s="11">
        <f>ROUND(⑤基本情報入力!V31*⑤基本情報入力!V32,2)</f>
        <v>0</v>
      </c>
      <c r="S59" s="11">
        <f>ROUND(⑤基本情報入力!AA31*⑤基本情報入力!AA32,2)</f>
        <v>0</v>
      </c>
      <c r="T59" s="11">
        <f>ROUND(⑤基本情報入力!AF31*⑤基本情報入力!AF32,2)</f>
        <v>0</v>
      </c>
      <c r="U59" s="11">
        <f>ROUND(⑤基本情報入力!AK31*⑤基本情報入力!AK32,2)</f>
        <v>0</v>
      </c>
      <c r="V59" s="11">
        <f>ROUND(⑤基本情報入力!AP31*⑤基本情報入力!AP32,2)</f>
        <v>0</v>
      </c>
      <c r="W59" s="211">
        <f>ROUND(⑤基本情報入力!AQ31*⑤基本情報入力!AQ32,2)</f>
        <v>0</v>
      </c>
      <c r="X59" s="10">
        <f t="shared" ref="X59:X64" si="48">+SUM(I59:V59)</f>
        <v>0</v>
      </c>
      <c r="Y59" s="13" t="s">
        <v>170</v>
      </c>
    </row>
    <row r="60" spans="2:25">
      <c r="B60" s="368" t="s">
        <v>391</v>
      </c>
      <c r="C60" s="1326"/>
      <c r="D60" s="1328"/>
      <c r="E60" s="1330"/>
      <c r="F60" s="376" t="s">
        <v>59</v>
      </c>
      <c r="G60" s="372" t="s">
        <v>65</v>
      </c>
      <c r="H60" s="371"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368" t="s">
        <v>392</v>
      </c>
      <c r="C61" s="1326"/>
      <c r="D61" s="1331" t="s">
        <v>54</v>
      </c>
      <c r="E61" s="1332" t="s">
        <v>60</v>
      </c>
      <c r="F61" s="376" t="s">
        <v>61</v>
      </c>
      <c r="G61" s="372" t="s">
        <v>168</v>
      </c>
      <c r="H61" s="371" t="s">
        <v>0</v>
      </c>
      <c r="I61" s="18">
        <f>I59-I60</f>
        <v>0</v>
      </c>
      <c r="J61" s="18">
        <f t="shared" ref="J61:O61" si="50">J59-J60</f>
        <v>0</v>
      </c>
      <c r="K61" s="18">
        <f t="shared" si="50"/>
        <v>0</v>
      </c>
      <c r="L61" s="18">
        <f t="shared" si="50"/>
        <v>0</v>
      </c>
      <c r="M61" s="18">
        <f t="shared" si="50"/>
        <v>0</v>
      </c>
      <c r="N61" s="18">
        <f t="shared" si="50"/>
        <v>0</v>
      </c>
      <c r="O61" s="18">
        <f t="shared" si="50"/>
        <v>0</v>
      </c>
      <c r="P61" s="18">
        <f>P59-P60</f>
        <v>0</v>
      </c>
      <c r="Q61" s="18">
        <f t="shared" ref="Q61:W61" si="51">Q59-Q60</f>
        <v>0</v>
      </c>
      <c r="R61" s="18">
        <f t="shared" si="51"/>
        <v>0</v>
      </c>
      <c r="S61" s="18">
        <f>S59-S60</f>
        <v>0</v>
      </c>
      <c r="T61" s="18">
        <f t="shared" si="51"/>
        <v>0</v>
      </c>
      <c r="U61" s="18">
        <f>U59-U60</f>
        <v>0</v>
      </c>
      <c r="V61" s="18">
        <f t="shared" si="51"/>
        <v>0</v>
      </c>
      <c r="W61" s="315">
        <f t="shared" si="51"/>
        <v>0</v>
      </c>
      <c r="X61" s="15">
        <f t="shared" si="48"/>
        <v>0</v>
      </c>
      <c r="Y61" s="17"/>
    </row>
    <row r="62" spans="2:25">
      <c r="B62" s="368" t="s">
        <v>393</v>
      </c>
      <c r="C62" s="1326"/>
      <c r="D62" s="1326"/>
      <c r="E62" s="1329"/>
      <c r="F62" s="376" t="s">
        <v>62</v>
      </c>
      <c r="G62" s="372" t="s">
        <v>66</v>
      </c>
      <c r="H62" s="371" t="s">
        <v>38</v>
      </c>
      <c r="I62" s="34">
        <f t="shared" ref="I62:W62" si="52">ROUND(+I61*I66/100,2)</f>
        <v>0</v>
      </c>
      <c r="J62" s="34">
        <f t="shared" si="52"/>
        <v>0</v>
      </c>
      <c r="K62" s="34">
        <f t="shared" si="52"/>
        <v>0</v>
      </c>
      <c r="L62" s="34">
        <f t="shared" si="52"/>
        <v>0</v>
      </c>
      <c r="M62" s="34">
        <f t="shared" si="52"/>
        <v>0</v>
      </c>
      <c r="N62" s="34">
        <f t="shared" si="52"/>
        <v>0</v>
      </c>
      <c r="O62" s="34">
        <f t="shared" si="52"/>
        <v>0</v>
      </c>
      <c r="P62" s="35">
        <f t="shared" si="52"/>
        <v>0</v>
      </c>
      <c r="Q62" s="34">
        <f t="shared" si="52"/>
        <v>0</v>
      </c>
      <c r="R62" s="34">
        <f t="shared" si="52"/>
        <v>0</v>
      </c>
      <c r="S62" s="36">
        <f t="shared" si="52"/>
        <v>0</v>
      </c>
      <c r="T62" s="36">
        <f t="shared" si="52"/>
        <v>0</v>
      </c>
      <c r="U62" s="36">
        <f t="shared" si="52"/>
        <v>0</v>
      </c>
      <c r="V62" s="36">
        <f t="shared" si="52"/>
        <v>0</v>
      </c>
      <c r="W62" s="316">
        <f t="shared" si="52"/>
        <v>0</v>
      </c>
      <c r="X62" s="15">
        <f t="shared" si="48"/>
        <v>0</v>
      </c>
      <c r="Y62" s="17"/>
    </row>
    <row r="63" spans="2:25">
      <c r="B63" s="368" t="s">
        <v>394</v>
      </c>
      <c r="C63" s="1326"/>
      <c r="D63" s="1326"/>
      <c r="E63" s="1329"/>
      <c r="F63" s="376" t="s">
        <v>63</v>
      </c>
      <c r="G63" s="19" t="s">
        <v>67</v>
      </c>
      <c r="H63" s="371" t="s">
        <v>69</v>
      </c>
      <c r="I63" s="14">
        <f>+I61-I62</f>
        <v>0</v>
      </c>
      <c r="J63" s="14">
        <f t="shared" ref="J63:O63" si="53">+J61-J62</f>
        <v>0</v>
      </c>
      <c r="K63" s="14">
        <f t="shared" si="53"/>
        <v>0</v>
      </c>
      <c r="L63" s="14">
        <f t="shared" si="53"/>
        <v>0</v>
      </c>
      <c r="M63" s="14">
        <f t="shared" si="53"/>
        <v>0</v>
      </c>
      <c r="N63" s="14">
        <f t="shared" si="53"/>
        <v>0</v>
      </c>
      <c r="O63" s="14">
        <f t="shared" si="53"/>
        <v>0</v>
      </c>
      <c r="P63" s="15">
        <f>+P61-P62</f>
        <v>0</v>
      </c>
      <c r="Q63" s="14">
        <f>+Q61-Q62</f>
        <v>0</v>
      </c>
      <c r="R63" s="14">
        <f>+R61-R62</f>
        <v>0</v>
      </c>
      <c r="S63" s="16">
        <f t="shared" ref="S63:W63" si="54">+S61-S62</f>
        <v>0</v>
      </c>
      <c r="T63" s="16">
        <f t="shared" si="54"/>
        <v>0</v>
      </c>
      <c r="U63" s="16">
        <f t="shared" si="54"/>
        <v>0</v>
      </c>
      <c r="V63" s="16">
        <f t="shared" si="54"/>
        <v>0</v>
      </c>
      <c r="W63" s="210">
        <f t="shared" si="54"/>
        <v>0</v>
      </c>
      <c r="X63" s="15">
        <f t="shared" si="48"/>
        <v>0</v>
      </c>
      <c r="Y63" s="17"/>
    </row>
    <row r="64" spans="2:25" ht="14.25" thickBot="1">
      <c r="B64" s="368" t="s">
        <v>395</v>
      </c>
      <c r="C64" s="1327"/>
      <c r="D64" s="1327"/>
      <c r="E64" s="1333"/>
      <c r="F64" s="192" t="s">
        <v>64</v>
      </c>
      <c r="G64" s="204" t="s">
        <v>68</v>
      </c>
      <c r="H64" s="53" t="s">
        <v>35</v>
      </c>
      <c r="I64" s="190">
        <f t="shared" ref="I64:W64" si="55">ROUND(+I62*I67/100,2)</f>
        <v>0</v>
      </c>
      <c r="J64" s="190">
        <f t="shared" si="55"/>
        <v>0</v>
      </c>
      <c r="K64" s="190">
        <f t="shared" si="55"/>
        <v>0</v>
      </c>
      <c r="L64" s="190">
        <f t="shared" si="55"/>
        <v>0</v>
      </c>
      <c r="M64" s="190">
        <f t="shared" si="55"/>
        <v>0</v>
      </c>
      <c r="N64" s="190">
        <f t="shared" si="55"/>
        <v>0</v>
      </c>
      <c r="O64" s="190">
        <f t="shared" si="55"/>
        <v>0</v>
      </c>
      <c r="P64" s="205">
        <f t="shared" si="55"/>
        <v>0</v>
      </c>
      <c r="Q64" s="190">
        <f t="shared" si="55"/>
        <v>0</v>
      </c>
      <c r="R64" s="190">
        <f t="shared" si="55"/>
        <v>0</v>
      </c>
      <c r="S64" s="206">
        <f t="shared" si="55"/>
        <v>0</v>
      </c>
      <c r="T64" s="206">
        <f t="shared" si="55"/>
        <v>0</v>
      </c>
      <c r="U64" s="206">
        <f t="shared" si="55"/>
        <v>0</v>
      </c>
      <c r="V64" s="206">
        <f t="shared" si="55"/>
        <v>0</v>
      </c>
      <c r="W64" s="307">
        <f t="shared" si="55"/>
        <v>0</v>
      </c>
      <c r="X64" s="205">
        <f t="shared" si="48"/>
        <v>0</v>
      </c>
      <c r="Y64" s="193"/>
    </row>
    <row r="65" spans="2:25" ht="13.5" customHeight="1">
      <c r="B65" s="262" t="s">
        <v>396</v>
      </c>
      <c r="C65" s="1334" t="s">
        <v>89</v>
      </c>
      <c r="D65" s="370" t="s">
        <v>56</v>
      </c>
      <c r="E65" s="378" t="s">
        <v>57</v>
      </c>
      <c r="F65" s="378" t="s">
        <v>71</v>
      </c>
      <c r="G65" s="183" t="s">
        <v>50</v>
      </c>
      <c r="H65" s="370"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t="e">
        <f>+ROUND(X60/X59*100,1)</f>
        <v>#DIV/0!</v>
      </c>
      <c r="Y65" s="20"/>
    </row>
    <row r="66" spans="2:25">
      <c r="B66" s="368" t="s">
        <v>397</v>
      </c>
      <c r="C66" s="1325"/>
      <c r="D66" s="1331" t="s">
        <v>54</v>
      </c>
      <c r="E66" s="1336" t="s">
        <v>60</v>
      </c>
      <c r="F66" s="21" t="s">
        <v>51</v>
      </c>
      <c r="G66" s="170" t="s">
        <v>50</v>
      </c>
      <c r="H66" s="371" t="s">
        <v>53</v>
      </c>
      <c r="I66" s="52">
        <f t="shared" si="56"/>
        <v>0</v>
      </c>
      <c r="J66" s="52">
        <f t="shared" si="56"/>
        <v>0</v>
      </c>
      <c r="K66" s="52">
        <f t="shared" si="56"/>
        <v>0</v>
      </c>
      <c r="L66" s="52">
        <f t="shared" si="56"/>
        <v>0</v>
      </c>
      <c r="M66" s="52">
        <f t="shared" si="56"/>
        <v>0</v>
      </c>
      <c r="N66" s="52">
        <f t="shared" si="56"/>
        <v>0</v>
      </c>
      <c r="O66" s="52">
        <f t="shared" si="56"/>
        <v>0</v>
      </c>
      <c r="P66" s="52">
        <f t="shared" si="56"/>
        <v>0</v>
      </c>
      <c r="Q66" s="49">
        <f t="shared" si="56"/>
        <v>0</v>
      </c>
      <c r="R66" s="49">
        <f t="shared" si="56"/>
        <v>0</v>
      </c>
      <c r="S66" s="49">
        <f t="shared" si="56"/>
        <v>0</v>
      </c>
      <c r="T66" s="49">
        <f t="shared" si="56"/>
        <v>0</v>
      </c>
      <c r="U66" s="49">
        <f t="shared" si="56"/>
        <v>0</v>
      </c>
      <c r="V66" s="49">
        <f t="shared" si="56"/>
        <v>0</v>
      </c>
      <c r="W66" s="318">
        <f t="shared" si="56"/>
        <v>0</v>
      </c>
      <c r="X66" s="26">
        <f>IF(X61=0,0,ROUND(+X62/X61*100,1))</f>
        <v>0</v>
      </c>
      <c r="Y66" s="22"/>
    </row>
    <row r="67" spans="2:25">
      <c r="B67" s="368" t="s">
        <v>398</v>
      </c>
      <c r="C67" s="1325"/>
      <c r="D67" s="1325"/>
      <c r="E67" s="1336"/>
      <c r="F67" s="21" t="s">
        <v>52</v>
      </c>
      <c r="G67" s="170" t="s">
        <v>50</v>
      </c>
      <c r="H67" s="371" t="s">
        <v>91</v>
      </c>
      <c r="I67" s="52">
        <f t="shared" si="56"/>
        <v>0</v>
      </c>
      <c r="J67" s="52">
        <f t="shared" si="56"/>
        <v>0</v>
      </c>
      <c r="K67" s="52">
        <f t="shared" si="56"/>
        <v>0</v>
      </c>
      <c r="L67" s="52">
        <f t="shared" si="56"/>
        <v>0</v>
      </c>
      <c r="M67" s="52">
        <f t="shared" si="56"/>
        <v>0</v>
      </c>
      <c r="N67" s="52">
        <f t="shared" si="56"/>
        <v>0</v>
      </c>
      <c r="O67" s="52">
        <f t="shared" si="56"/>
        <v>0</v>
      </c>
      <c r="P67" s="52">
        <f t="shared" si="56"/>
        <v>0</v>
      </c>
      <c r="Q67" s="49">
        <f t="shared" si="56"/>
        <v>0</v>
      </c>
      <c r="R67" s="49">
        <f t="shared" si="56"/>
        <v>0</v>
      </c>
      <c r="S67" s="49">
        <f t="shared" si="56"/>
        <v>0</v>
      </c>
      <c r="T67" s="49">
        <f t="shared" si="56"/>
        <v>0</v>
      </c>
      <c r="U67" s="49">
        <f t="shared" si="56"/>
        <v>0</v>
      </c>
      <c r="V67" s="49">
        <f t="shared" si="56"/>
        <v>0</v>
      </c>
      <c r="W67" s="318">
        <f t="shared" si="56"/>
        <v>0</v>
      </c>
      <c r="X67" s="26" t="e">
        <f>+ROUND(X64/X62*100,1)</f>
        <v>#DIV/0!</v>
      </c>
      <c r="Y67" s="22"/>
    </row>
    <row r="68" spans="2:25">
      <c r="B68" s="368" t="s">
        <v>399</v>
      </c>
      <c r="C68" s="1325"/>
      <c r="D68" s="1325"/>
      <c r="E68" s="1336" t="s">
        <v>72</v>
      </c>
      <c r="F68" s="21" t="s">
        <v>73</v>
      </c>
      <c r="G68" s="170" t="s">
        <v>50</v>
      </c>
      <c r="H68" s="371" t="s">
        <v>53</v>
      </c>
      <c r="I68" s="52">
        <f t="shared" si="56"/>
        <v>0</v>
      </c>
      <c r="J68" s="52">
        <f t="shared" si="56"/>
        <v>0</v>
      </c>
      <c r="K68" s="52">
        <f t="shared" si="56"/>
        <v>0</v>
      </c>
      <c r="L68" s="52">
        <f t="shared" si="56"/>
        <v>0</v>
      </c>
      <c r="M68" s="52">
        <f t="shared" si="56"/>
        <v>0</v>
      </c>
      <c r="N68" s="52">
        <f t="shared" si="56"/>
        <v>0</v>
      </c>
      <c r="O68" s="52">
        <f t="shared" si="56"/>
        <v>0</v>
      </c>
      <c r="P68" s="52">
        <f t="shared" si="56"/>
        <v>0</v>
      </c>
      <c r="Q68" s="49">
        <f t="shared" si="56"/>
        <v>0</v>
      </c>
      <c r="R68" s="49">
        <f t="shared" si="56"/>
        <v>0</v>
      </c>
      <c r="S68" s="49">
        <f t="shared" si="56"/>
        <v>0</v>
      </c>
      <c r="T68" s="49">
        <f t="shared" si="56"/>
        <v>0</v>
      </c>
      <c r="U68" s="49">
        <f t="shared" si="56"/>
        <v>0</v>
      </c>
      <c r="V68" s="49">
        <f t="shared" si="56"/>
        <v>0</v>
      </c>
      <c r="W68" s="318">
        <f t="shared" si="56"/>
        <v>0</v>
      </c>
      <c r="X68" s="484" t="e">
        <f>+ROUND(X81/X64*100,1)</f>
        <v>#DIV/0!</v>
      </c>
      <c r="Y68" s="22"/>
    </row>
    <row r="69" spans="2:25" ht="15.75">
      <c r="B69" s="368" t="s">
        <v>400</v>
      </c>
      <c r="C69" s="1325"/>
      <c r="D69" s="1325"/>
      <c r="E69" s="1336"/>
      <c r="F69" s="21" t="s">
        <v>74</v>
      </c>
      <c r="G69" s="170" t="s">
        <v>50</v>
      </c>
      <c r="H69" s="371" t="s">
        <v>165</v>
      </c>
      <c r="I69" s="52">
        <f t="shared" si="56"/>
        <v>0</v>
      </c>
      <c r="J69" s="52">
        <f t="shared" si="56"/>
        <v>0</v>
      </c>
      <c r="K69" s="52">
        <f t="shared" si="56"/>
        <v>0</v>
      </c>
      <c r="L69" s="52">
        <f t="shared" si="56"/>
        <v>0</v>
      </c>
      <c r="M69" s="52">
        <f t="shared" si="56"/>
        <v>0</v>
      </c>
      <c r="N69" s="52">
        <f t="shared" si="56"/>
        <v>0</v>
      </c>
      <c r="O69" s="52">
        <f t="shared" si="56"/>
        <v>0</v>
      </c>
      <c r="P69" s="52">
        <f t="shared" si="56"/>
        <v>0</v>
      </c>
      <c r="Q69" s="49">
        <f t="shared" si="56"/>
        <v>0</v>
      </c>
      <c r="R69" s="49">
        <f t="shared" si="56"/>
        <v>0</v>
      </c>
      <c r="S69" s="49">
        <f t="shared" si="56"/>
        <v>0</v>
      </c>
      <c r="T69" s="49">
        <f t="shared" si="56"/>
        <v>0</v>
      </c>
      <c r="U69" s="49">
        <f t="shared" si="56"/>
        <v>0</v>
      </c>
      <c r="V69" s="49">
        <f t="shared" si="56"/>
        <v>0</v>
      </c>
      <c r="W69" s="318">
        <f t="shared" si="56"/>
        <v>0</v>
      </c>
      <c r="X69" s="484" t="e">
        <f>+ROUND(X84/X81/1000,2)</f>
        <v>#DIV/0!</v>
      </c>
      <c r="Y69" s="22"/>
    </row>
    <row r="70" spans="2:25" ht="15.75" customHeight="1">
      <c r="B70" s="368" t="s">
        <v>401</v>
      </c>
      <c r="C70" s="1325"/>
      <c r="D70" s="1325"/>
      <c r="E70" s="1336"/>
      <c r="F70" s="21" t="s">
        <v>75</v>
      </c>
      <c r="G70" s="170" t="s">
        <v>79</v>
      </c>
      <c r="H70" s="371" t="s">
        <v>166</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54">
        <f>X19</f>
        <v>35739</v>
      </c>
      <c r="Y70" s="17" t="s">
        <v>118</v>
      </c>
    </row>
    <row r="71" spans="2:25" ht="13.5" customHeight="1">
      <c r="B71" s="368" t="s">
        <v>402</v>
      </c>
      <c r="C71" s="1325"/>
      <c r="D71" s="1325"/>
      <c r="E71" s="1336"/>
      <c r="F71" s="21" t="s">
        <v>76</v>
      </c>
      <c r="G71" s="170" t="s">
        <v>50</v>
      </c>
      <c r="H71" s="371"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54">
        <f>X20</f>
        <v>60</v>
      </c>
      <c r="Y71" s="17"/>
    </row>
    <row r="72" spans="2:25" ht="13.5" customHeight="1">
      <c r="B72" s="368" t="s">
        <v>403</v>
      </c>
      <c r="C72" s="1325"/>
      <c r="D72" s="1325"/>
      <c r="E72" s="1336"/>
      <c r="F72" s="21" t="s">
        <v>77</v>
      </c>
      <c r="G72" s="182" t="s">
        <v>374</v>
      </c>
      <c r="H72" s="371" t="s">
        <v>166</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484">
        <f t="shared" si="60"/>
        <v>21443.4</v>
      </c>
      <c r="Y72" s="17"/>
    </row>
    <row r="73" spans="2:25">
      <c r="B73" s="368" t="s">
        <v>404</v>
      </c>
      <c r="C73" s="1325"/>
      <c r="D73" s="1325"/>
      <c r="E73" s="1376" t="s">
        <v>106</v>
      </c>
      <c r="F73" s="27" t="s">
        <v>104</v>
      </c>
      <c r="G73" s="170" t="s">
        <v>50</v>
      </c>
      <c r="H73" s="371"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484">
        <f>X22</f>
        <v>35</v>
      </c>
      <c r="Y73" s="17"/>
    </row>
    <row r="74" spans="2:25">
      <c r="B74" s="368" t="s">
        <v>405</v>
      </c>
      <c r="C74" s="1325"/>
      <c r="D74" s="1351"/>
      <c r="E74" s="1376"/>
      <c r="F74" s="27" t="s">
        <v>105</v>
      </c>
      <c r="G74" s="170" t="s">
        <v>50</v>
      </c>
      <c r="H74" s="371"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484">
        <f>X23</f>
        <v>10</v>
      </c>
      <c r="Y74" s="17"/>
    </row>
    <row r="75" spans="2:25">
      <c r="B75" s="368" t="s">
        <v>406</v>
      </c>
      <c r="C75" s="1325"/>
      <c r="D75" s="1347" t="s">
        <v>353</v>
      </c>
      <c r="E75" s="1344" t="s">
        <v>223</v>
      </c>
      <c r="F75" s="1345"/>
      <c r="G75" s="170" t="s">
        <v>50</v>
      </c>
      <c r="H75" s="346"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484">
        <f>+X24</f>
        <v>35</v>
      </c>
      <c r="Y75" s="17"/>
    </row>
    <row r="76" spans="2:25">
      <c r="B76" s="368" t="s">
        <v>407</v>
      </c>
      <c r="C76" s="1325"/>
      <c r="D76" s="1348"/>
      <c r="E76" s="1344" t="s">
        <v>224</v>
      </c>
      <c r="F76" s="1345"/>
      <c r="G76" s="170" t="s">
        <v>50</v>
      </c>
      <c r="H76" s="346" t="s">
        <v>217</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484">
        <f>+X25</f>
        <v>0.93</v>
      </c>
      <c r="Y76" s="17"/>
    </row>
    <row r="77" spans="2:25">
      <c r="B77" s="188" t="s">
        <v>408</v>
      </c>
      <c r="C77" s="1325"/>
      <c r="D77" s="1349"/>
      <c r="E77" s="168" t="s">
        <v>225</v>
      </c>
      <c r="F77" s="169"/>
      <c r="G77" s="170" t="s">
        <v>50</v>
      </c>
      <c r="H77" s="346"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484">
        <f>+X26</f>
        <v>50</v>
      </c>
      <c r="Y77" s="17"/>
    </row>
    <row r="78" spans="2:25">
      <c r="B78" s="368" t="s">
        <v>409</v>
      </c>
      <c r="C78" s="1325"/>
      <c r="D78" s="371" t="s">
        <v>30</v>
      </c>
      <c r="E78" s="1377" t="s">
        <v>78</v>
      </c>
      <c r="F78" s="1378"/>
      <c r="G78" s="170" t="s">
        <v>50</v>
      </c>
      <c r="H78" s="371"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54">
        <f>X27</f>
        <v>85</v>
      </c>
      <c r="Y78" s="17"/>
    </row>
    <row r="79" spans="2:25">
      <c r="B79" s="368" t="s">
        <v>410</v>
      </c>
      <c r="C79" s="1325"/>
      <c r="D79" s="1326" t="s">
        <v>101</v>
      </c>
      <c r="E79" s="37" t="s">
        <v>102</v>
      </c>
      <c r="F79" s="38"/>
      <c r="G79" s="170" t="s">
        <v>50</v>
      </c>
      <c r="H79" s="374"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486">
        <f>X28</f>
        <v>25</v>
      </c>
      <c r="Y79" s="13"/>
    </row>
    <row r="80" spans="2:25" ht="14.25" thickBot="1">
      <c r="B80" s="194" t="s">
        <v>411</v>
      </c>
      <c r="C80" s="1335"/>
      <c r="D80" s="1327"/>
      <c r="E80" s="200" t="s">
        <v>103</v>
      </c>
      <c r="F80" s="201"/>
      <c r="G80" s="178" t="s">
        <v>50</v>
      </c>
      <c r="H80" s="373"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487">
        <f>X29</f>
        <v>15</v>
      </c>
      <c r="Y80" s="203"/>
    </row>
    <row r="81" spans="2:25" ht="13.5" customHeight="1">
      <c r="B81" s="262" t="s">
        <v>113</v>
      </c>
      <c r="C81" s="1334" t="s">
        <v>88</v>
      </c>
      <c r="D81" s="1334" t="s">
        <v>54</v>
      </c>
      <c r="E81" s="1352" t="s">
        <v>80</v>
      </c>
      <c r="F81" s="1352"/>
      <c r="G81" s="184" t="s">
        <v>375</v>
      </c>
      <c r="H81" s="370" t="s">
        <v>35</v>
      </c>
      <c r="I81" s="9">
        <f t="shared" ref="I81:W81" si="72">ROUND(+I64*I68/100,2)</f>
        <v>0</v>
      </c>
      <c r="J81" s="9">
        <f t="shared" si="72"/>
        <v>0</v>
      </c>
      <c r="K81" s="9">
        <f t="shared" si="72"/>
        <v>0</v>
      </c>
      <c r="L81" s="9">
        <f t="shared" si="72"/>
        <v>0</v>
      </c>
      <c r="M81" s="9">
        <f t="shared" si="72"/>
        <v>0</v>
      </c>
      <c r="N81" s="9">
        <f t="shared" si="72"/>
        <v>0</v>
      </c>
      <c r="O81" s="9">
        <f t="shared" si="72"/>
        <v>0</v>
      </c>
      <c r="P81" s="30">
        <f t="shared" si="72"/>
        <v>0</v>
      </c>
      <c r="Q81" s="9">
        <f t="shared" si="72"/>
        <v>0</v>
      </c>
      <c r="R81" s="9">
        <f t="shared" si="72"/>
        <v>0</v>
      </c>
      <c r="S81" s="9">
        <f t="shared" si="72"/>
        <v>0</v>
      </c>
      <c r="T81" s="9">
        <f t="shared" si="72"/>
        <v>0</v>
      </c>
      <c r="U81" s="9">
        <f t="shared" si="72"/>
        <v>0</v>
      </c>
      <c r="V81" s="30">
        <f t="shared" si="72"/>
        <v>0</v>
      </c>
      <c r="W81" s="308">
        <f t="shared" si="72"/>
        <v>0</v>
      </c>
      <c r="X81" s="485">
        <f t="shared" ref="X81:X90" si="73">+SUM(I81:V81)</f>
        <v>0</v>
      </c>
      <c r="Y81" s="20"/>
    </row>
    <row r="82" spans="2:25">
      <c r="B82" s="176" t="s">
        <v>114</v>
      </c>
      <c r="C82" s="1325"/>
      <c r="D82" s="1325"/>
      <c r="E82" s="1336" t="s">
        <v>81</v>
      </c>
      <c r="F82" s="376" t="s">
        <v>64</v>
      </c>
      <c r="G82" s="170" t="s">
        <v>376</v>
      </c>
      <c r="H82" s="371" t="s">
        <v>35</v>
      </c>
      <c r="I82" s="14">
        <f t="shared" ref="I82:W82" si="74">+I64-I81</f>
        <v>0</v>
      </c>
      <c r="J82" s="14">
        <f t="shared" si="74"/>
        <v>0</v>
      </c>
      <c r="K82" s="14">
        <f t="shared" si="74"/>
        <v>0</v>
      </c>
      <c r="L82" s="14">
        <f t="shared" si="74"/>
        <v>0</v>
      </c>
      <c r="M82" s="14">
        <f t="shared" si="74"/>
        <v>0</v>
      </c>
      <c r="N82" s="14">
        <f t="shared" si="74"/>
        <v>0</v>
      </c>
      <c r="O82" s="14">
        <f t="shared" si="74"/>
        <v>0</v>
      </c>
      <c r="P82" s="15">
        <f t="shared" si="74"/>
        <v>0</v>
      </c>
      <c r="Q82" s="14">
        <f t="shared" si="74"/>
        <v>0</v>
      </c>
      <c r="R82" s="14">
        <f t="shared" si="74"/>
        <v>0</v>
      </c>
      <c r="S82" s="14">
        <f t="shared" si="74"/>
        <v>0</v>
      </c>
      <c r="T82" s="14">
        <f t="shared" si="74"/>
        <v>0</v>
      </c>
      <c r="U82" s="14">
        <f t="shared" si="74"/>
        <v>0</v>
      </c>
      <c r="V82" s="15">
        <f t="shared" si="74"/>
        <v>0</v>
      </c>
      <c r="W82" s="210">
        <f t="shared" si="74"/>
        <v>0</v>
      </c>
      <c r="X82" s="281">
        <f t="shared" si="73"/>
        <v>0</v>
      </c>
      <c r="Y82" s="17"/>
    </row>
    <row r="83" spans="2:25">
      <c r="B83" s="368" t="s">
        <v>115</v>
      </c>
      <c r="C83" s="1325"/>
      <c r="D83" s="1325"/>
      <c r="E83" s="1336"/>
      <c r="F83" s="376" t="s">
        <v>62</v>
      </c>
      <c r="G83" s="170" t="s">
        <v>377</v>
      </c>
      <c r="H83" s="371" t="s">
        <v>38</v>
      </c>
      <c r="I83" s="14">
        <f t="shared" ref="I83:W83" si="75">+I62-I81</f>
        <v>0</v>
      </c>
      <c r="J83" s="14">
        <f t="shared" si="75"/>
        <v>0</v>
      </c>
      <c r="K83" s="14">
        <f t="shared" si="75"/>
        <v>0</v>
      </c>
      <c r="L83" s="14">
        <f t="shared" si="75"/>
        <v>0</v>
      </c>
      <c r="M83" s="14">
        <f t="shared" si="75"/>
        <v>0</v>
      </c>
      <c r="N83" s="14">
        <f t="shared" si="75"/>
        <v>0</v>
      </c>
      <c r="O83" s="14">
        <f t="shared" si="75"/>
        <v>0</v>
      </c>
      <c r="P83" s="15">
        <f t="shared" si="75"/>
        <v>0</v>
      </c>
      <c r="Q83" s="14">
        <f t="shared" si="75"/>
        <v>0</v>
      </c>
      <c r="R83" s="14">
        <f t="shared" si="75"/>
        <v>0</v>
      </c>
      <c r="S83" s="14">
        <f t="shared" si="75"/>
        <v>0</v>
      </c>
      <c r="T83" s="14">
        <f t="shared" si="75"/>
        <v>0</v>
      </c>
      <c r="U83" s="14">
        <f t="shared" si="75"/>
        <v>0</v>
      </c>
      <c r="V83" s="15">
        <f t="shared" si="75"/>
        <v>0</v>
      </c>
      <c r="W83" s="210">
        <f t="shared" si="75"/>
        <v>0</v>
      </c>
      <c r="X83" s="281">
        <f t="shared" si="73"/>
        <v>0</v>
      </c>
      <c r="Y83" s="17"/>
    </row>
    <row r="84" spans="2:25" s="279" customFormat="1" ht="15.75" customHeight="1">
      <c r="B84" s="273" t="s">
        <v>116</v>
      </c>
      <c r="C84" s="1325"/>
      <c r="D84" s="1325"/>
      <c r="E84" s="1336" t="s">
        <v>72</v>
      </c>
      <c r="F84" s="377" t="s">
        <v>82</v>
      </c>
      <c r="G84" s="280" t="s">
        <v>378</v>
      </c>
      <c r="H84" s="283" t="s">
        <v>163</v>
      </c>
      <c r="I84" s="275">
        <f>ROUND(+I81*I69*1000,2)</f>
        <v>0</v>
      </c>
      <c r="J84" s="275">
        <f t="shared" ref="J84:W84" si="76">ROUND(+J81*J69*1000,2)</f>
        <v>0</v>
      </c>
      <c r="K84" s="275">
        <f t="shared" si="76"/>
        <v>0</v>
      </c>
      <c r="L84" s="275">
        <f t="shared" si="76"/>
        <v>0</v>
      </c>
      <c r="M84" s="275">
        <f t="shared" si="76"/>
        <v>0</v>
      </c>
      <c r="N84" s="275">
        <f t="shared" si="76"/>
        <v>0</v>
      </c>
      <c r="O84" s="275">
        <f t="shared" si="76"/>
        <v>0</v>
      </c>
      <c r="P84" s="281">
        <f t="shared" si="76"/>
        <v>0</v>
      </c>
      <c r="Q84" s="275">
        <f t="shared" si="76"/>
        <v>0</v>
      </c>
      <c r="R84" s="275">
        <f t="shared" si="76"/>
        <v>0</v>
      </c>
      <c r="S84" s="275">
        <f t="shared" si="76"/>
        <v>0</v>
      </c>
      <c r="T84" s="275">
        <f t="shared" si="76"/>
        <v>0</v>
      </c>
      <c r="U84" s="275">
        <f t="shared" si="76"/>
        <v>0</v>
      </c>
      <c r="V84" s="281">
        <f t="shared" si="76"/>
        <v>0</v>
      </c>
      <c r="W84" s="306">
        <f t="shared" si="76"/>
        <v>0</v>
      </c>
      <c r="X84" s="281">
        <f t="shared" si="73"/>
        <v>0</v>
      </c>
      <c r="Y84" s="276"/>
    </row>
    <row r="85" spans="2:25">
      <c r="B85" s="368" t="s">
        <v>117</v>
      </c>
      <c r="C85" s="1325"/>
      <c r="D85" s="1325"/>
      <c r="E85" s="1336"/>
      <c r="F85" s="376" t="s">
        <v>83</v>
      </c>
      <c r="G85" s="170" t="s">
        <v>379</v>
      </c>
      <c r="H85" s="371" t="s">
        <v>90</v>
      </c>
      <c r="I85" s="14">
        <f>ROUND(+I72*I84/1000,2)</f>
        <v>0</v>
      </c>
      <c r="J85" s="14">
        <f t="shared" ref="J85:W85" si="77">ROUND(+J72*J84/1000,2)</f>
        <v>0</v>
      </c>
      <c r="K85" s="14">
        <f t="shared" si="77"/>
        <v>0</v>
      </c>
      <c r="L85" s="14">
        <f t="shared" si="77"/>
        <v>0</v>
      </c>
      <c r="M85" s="14">
        <f t="shared" si="77"/>
        <v>0</v>
      </c>
      <c r="N85" s="14">
        <f t="shared" si="77"/>
        <v>0</v>
      </c>
      <c r="O85" s="14">
        <f t="shared" si="77"/>
        <v>0</v>
      </c>
      <c r="P85" s="15">
        <f t="shared" si="77"/>
        <v>0</v>
      </c>
      <c r="Q85" s="14">
        <f t="shared" si="77"/>
        <v>0</v>
      </c>
      <c r="R85" s="14">
        <f t="shared" si="77"/>
        <v>0</v>
      </c>
      <c r="S85" s="14">
        <f t="shared" si="77"/>
        <v>0</v>
      </c>
      <c r="T85" s="39">
        <f t="shared" si="77"/>
        <v>0</v>
      </c>
      <c r="U85" s="14">
        <f t="shared" si="77"/>
        <v>0</v>
      </c>
      <c r="V85" s="15">
        <f t="shared" si="77"/>
        <v>0</v>
      </c>
      <c r="W85" s="210">
        <f t="shared" si="77"/>
        <v>0</v>
      </c>
      <c r="X85" s="281">
        <f t="shared" si="73"/>
        <v>0</v>
      </c>
      <c r="Y85" s="17"/>
    </row>
    <row r="86" spans="2:25">
      <c r="B86" s="368" t="s">
        <v>319</v>
      </c>
      <c r="C86" s="1325"/>
      <c r="D86" s="1351"/>
      <c r="E86" s="376" t="s">
        <v>106</v>
      </c>
      <c r="F86" s="376" t="s">
        <v>108</v>
      </c>
      <c r="G86" s="170" t="s">
        <v>380</v>
      </c>
      <c r="H86" s="371" t="s">
        <v>90</v>
      </c>
      <c r="I86" s="14">
        <f t="shared" ref="I86:W86" si="78">+ROUND(I61*(I73-I74)*4.186,2)</f>
        <v>0</v>
      </c>
      <c r="J86" s="14">
        <f t="shared" si="78"/>
        <v>0</v>
      </c>
      <c r="K86" s="14">
        <f t="shared" si="78"/>
        <v>0</v>
      </c>
      <c r="L86" s="14">
        <f t="shared" si="78"/>
        <v>0</v>
      </c>
      <c r="M86" s="14">
        <f t="shared" si="78"/>
        <v>0</v>
      </c>
      <c r="N86" s="14">
        <f t="shared" si="78"/>
        <v>0</v>
      </c>
      <c r="O86" s="14">
        <f t="shared" si="78"/>
        <v>0</v>
      </c>
      <c r="P86" s="14">
        <f t="shared" si="78"/>
        <v>0</v>
      </c>
      <c r="Q86" s="14">
        <f t="shared" si="78"/>
        <v>0</v>
      </c>
      <c r="R86" s="14">
        <f t="shared" si="78"/>
        <v>0</v>
      </c>
      <c r="S86" s="14">
        <f t="shared" si="78"/>
        <v>0</v>
      </c>
      <c r="T86" s="14">
        <f t="shared" si="78"/>
        <v>0</v>
      </c>
      <c r="U86" s="14">
        <f t="shared" si="78"/>
        <v>0</v>
      </c>
      <c r="V86" s="14">
        <f t="shared" si="78"/>
        <v>0</v>
      </c>
      <c r="W86" s="210">
        <f t="shared" si="78"/>
        <v>0</v>
      </c>
      <c r="X86" s="281">
        <f t="shared" si="73"/>
        <v>0</v>
      </c>
      <c r="Y86" s="259" t="s">
        <v>119</v>
      </c>
    </row>
    <row r="87" spans="2:25">
      <c r="B87" s="368" t="s">
        <v>320</v>
      </c>
      <c r="C87" s="1325"/>
      <c r="D87" s="1347" t="s">
        <v>354</v>
      </c>
      <c r="E87" s="1356" t="s">
        <v>355</v>
      </c>
      <c r="F87" s="1356"/>
      <c r="G87" s="170" t="s">
        <v>356</v>
      </c>
      <c r="H87" s="339" t="s">
        <v>357</v>
      </c>
      <c r="I87" s="187">
        <f>ROUND(+I85*I75/100/3.6,2)</f>
        <v>0</v>
      </c>
      <c r="J87" s="187">
        <f t="shared" ref="J87:W87" si="79">ROUND(+J85*J75/100/3.6,2)</f>
        <v>0</v>
      </c>
      <c r="K87" s="187">
        <f t="shared" si="79"/>
        <v>0</v>
      </c>
      <c r="L87" s="187">
        <f t="shared" si="79"/>
        <v>0</v>
      </c>
      <c r="M87" s="187">
        <f t="shared" si="79"/>
        <v>0</v>
      </c>
      <c r="N87" s="187">
        <f t="shared" si="79"/>
        <v>0</v>
      </c>
      <c r="O87" s="187">
        <f t="shared" si="79"/>
        <v>0</v>
      </c>
      <c r="P87" s="187">
        <f t="shared" si="79"/>
        <v>0</v>
      </c>
      <c r="Q87" s="187">
        <f t="shared" si="79"/>
        <v>0</v>
      </c>
      <c r="R87" s="187">
        <f t="shared" si="79"/>
        <v>0</v>
      </c>
      <c r="S87" s="187">
        <f t="shared" si="79"/>
        <v>0</v>
      </c>
      <c r="T87" s="187">
        <f t="shared" si="79"/>
        <v>0</v>
      </c>
      <c r="U87" s="187">
        <f t="shared" si="79"/>
        <v>0</v>
      </c>
      <c r="V87" s="187">
        <f t="shared" si="79"/>
        <v>0</v>
      </c>
      <c r="W87" s="309">
        <f t="shared" si="79"/>
        <v>0</v>
      </c>
      <c r="X87" s="281">
        <f>SUM(I87:W87)</f>
        <v>0</v>
      </c>
      <c r="Y87" s="369" t="s">
        <v>412</v>
      </c>
    </row>
    <row r="88" spans="2:25">
      <c r="B88" s="368" t="s">
        <v>321</v>
      </c>
      <c r="C88" s="1325"/>
      <c r="D88" s="1348"/>
      <c r="E88" s="1356" t="s">
        <v>358</v>
      </c>
      <c r="F88" s="1356"/>
      <c r="G88" s="170" t="s">
        <v>359</v>
      </c>
      <c r="H88" s="339" t="s">
        <v>357</v>
      </c>
      <c r="I88" s="187">
        <f t="shared" ref="I88:W88" si="80">ROUND(+I87*I76,2)</f>
        <v>0</v>
      </c>
      <c r="J88" s="187">
        <f t="shared" si="80"/>
        <v>0</v>
      </c>
      <c r="K88" s="187">
        <f t="shared" si="80"/>
        <v>0</v>
      </c>
      <c r="L88" s="187">
        <f t="shared" si="80"/>
        <v>0</v>
      </c>
      <c r="M88" s="187">
        <f t="shared" si="80"/>
        <v>0</v>
      </c>
      <c r="N88" s="187">
        <f t="shared" si="80"/>
        <v>0</v>
      </c>
      <c r="O88" s="187">
        <f t="shared" si="80"/>
        <v>0</v>
      </c>
      <c r="P88" s="187">
        <f t="shared" si="80"/>
        <v>0</v>
      </c>
      <c r="Q88" s="187">
        <f t="shared" si="80"/>
        <v>0</v>
      </c>
      <c r="R88" s="187">
        <f t="shared" si="80"/>
        <v>0</v>
      </c>
      <c r="S88" s="187">
        <f t="shared" si="80"/>
        <v>0</v>
      </c>
      <c r="T88" s="187">
        <f t="shared" si="80"/>
        <v>0</v>
      </c>
      <c r="U88" s="187">
        <f t="shared" si="80"/>
        <v>0</v>
      </c>
      <c r="V88" s="187">
        <f t="shared" si="80"/>
        <v>0</v>
      </c>
      <c r="W88" s="309">
        <f t="shared" si="80"/>
        <v>0</v>
      </c>
      <c r="X88" s="281">
        <f>SUM(I88:W88)</f>
        <v>0</v>
      </c>
      <c r="Y88" s="1342"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368" t="s">
        <v>322</v>
      </c>
      <c r="C89" s="1325"/>
      <c r="D89" s="1349"/>
      <c r="E89" s="1344" t="s">
        <v>360</v>
      </c>
      <c r="F89" s="1345"/>
      <c r="G89" s="170" t="s">
        <v>361</v>
      </c>
      <c r="H89" s="339" t="s">
        <v>90</v>
      </c>
      <c r="I89" s="187">
        <f>+ROUND(I85*I77/100,2)</f>
        <v>0</v>
      </c>
      <c r="J89" s="187">
        <f t="shared" ref="J89:W89" si="81">+ROUND(J85*J77/100,2)</f>
        <v>0</v>
      </c>
      <c r="K89" s="187">
        <f t="shared" si="81"/>
        <v>0</v>
      </c>
      <c r="L89" s="187">
        <f t="shared" si="81"/>
        <v>0</v>
      </c>
      <c r="M89" s="187">
        <f t="shared" si="81"/>
        <v>0</v>
      </c>
      <c r="N89" s="187">
        <f t="shared" si="81"/>
        <v>0</v>
      </c>
      <c r="O89" s="187">
        <f t="shared" si="81"/>
        <v>0</v>
      </c>
      <c r="P89" s="187">
        <f t="shared" si="81"/>
        <v>0</v>
      </c>
      <c r="Q89" s="187">
        <f t="shared" si="81"/>
        <v>0</v>
      </c>
      <c r="R89" s="187">
        <f t="shared" si="81"/>
        <v>0</v>
      </c>
      <c r="S89" s="187">
        <f t="shared" si="81"/>
        <v>0</v>
      </c>
      <c r="T89" s="187">
        <f t="shared" si="81"/>
        <v>0</v>
      </c>
      <c r="U89" s="187">
        <f t="shared" si="81"/>
        <v>0</v>
      </c>
      <c r="V89" s="187">
        <f t="shared" si="81"/>
        <v>0</v>
      </c>
      <c r="W89" s="309">
        <f t="shared" si="81"/>
        <v>0</v>
      </c>
      <c r="X89" s="281">
        <f>SUM(I89:W89)</f>
        <v>0</v>
      </c>
      <c r="Y89" s="1343"/>
    </row>
    <row r="90" spans="2:25">
      <c r="B90" s="368" t="s">
        <v>323</v>
      </c>
      <c r="C90" s="1325"/>
      <c r="D90" s="1308" t="s">
        <v>30</v>
      </c>
      <c r="E90" s="1336" t="s">
        <v>29</v>
      </c>
      <c r="F90" s="1336"/>
      <c r="G90" s="170" t="str">
        <f>"=c"</f>
        <v>=c</v>
      </c>
      <c r="H90" s="371" t="s">
        <v>0</v>
      </c>
      <c r="I90" s="14">
        <f t="shared" ref="I90:W90" si="82">+I61</f>
        <v>0</v>
      </c>
      <c r="J90" s="14">
        <f t="shared" si="82"/>
        <v>0</v>
      </c>
      <c r="K90" s="14">
        <f t="shared" si="82"/>
        <v>0</v>
      </c>
      <c r="L90" s="14">
        <f t="shared" si="82"/>
        <v>0</v>
      </c>
      <c r="M90" s="14">
        <f t="shared" si="82"/>
        <v>0</v>
      </c>
      <c r="N90" s="14">
        <f t="shared" si="82"/>
        <v>0</v>
      </c>
      <c r="O90" s="14">
        <f t="shared" si="82"/>
        <v>0</v>
      </c>
      <c r="P90" s="14">
        <f t="shared" si="82"/>
        <v>0</v>
      </c>
      <c r="Q90" s="14">
        <f t="shared" si="82"/>
        <v>0</v>
      </c>
      <c r="R90" s="14">
        <f t="shared" si="82"/>
        <v>0</v>
      </c>
      <c r="S90" s="14">
        <f t="shared" si="82"/>
        <v>0</v>
      </c>
      <c r="T90" s="14">
        <f t="shared" si="82"/>
        <v>0</v>
      </c>
      <c r="U90" s="14">
        <f t="shared" si="82"/>
        <v>0</v>
      </c>
      <c r="V90" s="14">
        <f t="shared" si="82"/>
        <v>0</v>
      </c>
      <c r="W90" s="210">
        <f t="shared" si="82"/>
        <v>0</v>
      </c>
      <c r="X90" s="281">
        <f t="shared" si="73"/>
        <v>0</v>
      </c>
      <c r="Y90" s="259"/>
    </row>
    <row r="91" spans="2:25">
      <c r="B91" s="368" t="s">
        <v>324</v>
      </c>
      <c r="C91" s="1325"/>
      <c r="D91" s="1308"/>
      <c r="E91" s="1336" t="s">
        <v>84</v>
      </c>
      <c r="F91" s="1336"/>
      <c r="G91" s="170" t="s">
        <v>381</v>
      </c>
      <c r="H91" s="371" t="s">
        <v>53</v>
      </c>
      <c r="I91" s="14">
        <f>IF(I90=0,0,ROUND(+I83/I90*100,2))</f>
        <v>0</v>
      </c>
      <c r="J91" s="14">
        <f t="shared" ref="J91:X91" si="83">IF(J90=0,0,ROUND(+J83/J90*100,2))</f>
        <v>0</v>
      </c>
      <c r="K91" s="14">
        <f t="shared" si="83"/>
        <v>0</v>
      </c>
      <c r="L91" s="14">
        <f t="shared" si="83"/>
        <v>0</v>
      </c>
      <c r="M91" s="14">
        <f t="shared" si="83"/>
        <v>0</v>
      </c>
      <c r="N91" s="14">
        <f t="shared" si="83"/>
        <v>0</v>
      </c>
      <c r="O91" s="14">
        <f t="shared" si="83"/>
        <v>0</v>
      </c>
      <c r="P91" s="14">
        <f t="shared" si="83"/>
        <v>0</v>
      </c>
      <c r="Q91" s="14">
        <f t="shared" si="83"/>
        <v>0</v>
      </c>
      <c r="R91" s="14">
        <f t="shared" si="83"/>
        <v>0</v>
      </c>
      <c r="S91" s="14">
        <f t="shared" si="83"/>
        <v>0</v>
      </c>
      <c r="T91" s="14">
        <f t="shared" si="83"/>
        <v>0</v>
      </c>
      <c r="U91" s="14">
        <f t="shared" si="83"/>
        <v>0</v>
      </c>
      <c r="V91" s="14">
        <f t="shared" si="83"/>
        <v>0</v>
      </c>
      <c r="W91" s="210">
        <f t="shared" si="83"/>
        <v>0</v>
      </c>
      <c r="X91" s="281">
        <f t="shared" si="83"/>
        <v>0</v>
      </c>
      <c r="Y91" s="259"/>
    </row>
    <row r="92" spans="2:25">
      <c r="B92" s="368" t="s">
        <v>325</v>
      </c>
      <c r="C92" s="1325"/>
      <c r="D92" s="1308"/>
      <c r="E92" s="1336" t="s">
        <v>85</v>
      </c>
      <c r="F92" s="1336"/>
      <c r="G92" s="170" t="s">
        <v>382</v>
      </c>
      <c r="H92" s="371" t="s">
        <v>0</v>
      </c>
      <c r="I92" s="14">
        <f>ROUND(+I83/(1-I78/100),2)</f>
        <v>0</v>
      </c>
      <c r="J92" s="14">
        <f t="shared" ref="J92:W92" si="84">ROUND(+J83/(1-J78/100),2)</f>
        <v>0</v>
      </c>
      <c r="K92" s="14">
        <f t="shared" si="84"/>
        <v>0</v>
      </c>
      <c r="L92" s="14">
        <f t="shared" si="84"/>
        <v>0</v>
      </c>
      <c r="M92" s="14">
        <f t="shared" si="84"/>
        <v>0</v>
      </c>
      <c r="N92" s="14">
        <f t="shared" si="84"/>
        <v>0</v>
      </c>
      <c r="O92" s="14">
        <f t="shared" si="84"/>
        <v>0</v>
      </c>
      <c r="P92" s="14">
        <f t="shared" si="84"/>
        <v>0</v>
      </c>
      <c r="Q92" s="14">
        <f t="shared" si="84"/>
        <v>0</v>
      </c>
      <c r="R92" s="14">
        <f t="shared" si="84"/>
        <v>0</v>
      </c>
      <c r="S92" s="14">
        <f t="shared" si="84"/>
        <v>0</v>
      </c>
      <c r="T92" s="14">
        <f t="shared" si="84"/>
        <v>0</v>
      </c>
      <c r="U92" s="14">
        <f t="shared" si="84"/>
        <v>0</v>
      </c>
      <c r="V92" s="14">
        <f t="shared" si="84"/>
        <v>0</v>
      </c>
      <c r="W92" s="210">
        <f t="shared" si="84"/>
        <v>0</v>
      </c>
      <c r="X92" s="281">
        <f t="shared" ref="X92:X98" si="85">+SUM(I92:V92)</f>
        <v>0</v>
      </c>
      <c r="Y92" s="259"/>
    </row>
    <row r="93" spans="2:25" ht="13.5" customHeight="1">
      <c r="B93" s="368" t="s">
        <v>326</v>
      </c>
      <c r="C93" s="1325"/>
      <c r="D93" s="1308"/>
      <c r="E93" s="1336" t="s">
        <v>86</v>
      </c>
      <c r="F93" s="1336"/>
      <c r="G93" s="170" t="str">
        <f>"=③"</f>
        <v>=③</v>
      </c>
      <c r="H93" s="371" t="s">
        <v>38</v>
      </c>
      <c r="I93" s="14">
        <f>+I83</f>
        <v>0</v>
      </c>
      <c r="J93" s="14">
        <f t="shared" ref="J93:W93" si="86">+J83</f>
        <v>0</v>
      </c>
      <c r="K93" s="14">
        <f t="shared" si="86"/>
        <v>0</v>
      </c>
      <c r="L93" s="14">
        <f t="shared" si="86"/>
        <v>0</v>
      </c>
      <c r="M93" s="14">
        <f t="shared" si="86"/>
        <v>0</v>
      </c>
      <c r="N93" s="14">
        <f t="shared" si="86"/>
        <v>0</v>
      </c>
      <c r="O93" s="14">
        <f t="shared" si="86"/>
        <v>0</v>
      </c>
      <c r="P93" s="14">
        <f t="shared" si="86"/>
        <v>0</v>
      </c>
      <c r="Q93" s="14">
        <f t="shared" si="86"/>
        <v>0</v>
      </c>
      <c r="R93" s="14">
        <f t="shared" si="86"/>
        <v>0</v>
      </c>
      <c r="S93" s="14">
        <f t="shared" si="86"/>
        <v>0</v>
      </c>
      <c r="T93" s="14">
        <f t="shared" si="86"/>
        <v>0</v>
      </c>
      <c r="U93" s="14">
        <f t="shared" si="86"/>
        <v>0</v>
      </c>
      <c r="V93" s="14">
        <f t="shared" si="86"/>
        <v>0</v>
      </c>
      <c r="W93" s="210">
        <f t="shared" si="86"/>
        <v>0</v>
      </c>
      <c r="X93" s="281">
        <f t="shared" si="85"/>
        <v>0</v>
      </c>
      <c r="Y93" s="259"/>
    </row>
    <row r="94" spans="2:25" ht="15.75">
      <c r="B94" s="368" t="s">
        <v>327</v>
      </c>
      <c r="C94" s="1325"/>
      <c r="D94" s="1308"/>
      <c r="E94" s="1336" t="s">
        <v>87</v>
      </c>
      <c r="F94" s="1336"/>
      <c r="G94" s="185" t="s">
        <v>383</v>
      </c>
      <c r="H94" s="371" t="s">
        <v>164</v>
      </c>
      <c r="I94" s="51">
        <f t="shared" ref="I94:W94" si="87">+I61-I92</f>
        <v>0</v>
      </c>
      <c r="J94" s="51">
        <f t="shared" si="87"/>
        <v>0</v>
      </c>
      <c r="K94" s="51">
        <f t="shared" si="87"/>
        <v>0</v>
      </c>
      <c r="L94" s="51">
        <f t="shared" si="87"/>
        <v>0</v>
      </c>
      <c r="M94" s="51">
        <f t="shared" si="87"/>
        <v>0</v>
      </c>
      <c r="N94" s="51">
        <f t="shared" si="87"/>
        <v>0</v>
      </c>
      <c r="O94" s="51">
        <f t="shared" si="87"/>
        <v>0</v>
      </c>
      <c r="P94" s="31">
        <f t="shared" si="87"/>
        <v>0</v>
      </c>
      <c r="Q94" s="31">
        <f t="shared" si="87"/>
        <v>0</v>
      </c>
      <c r="R94" s="31">
        <f t="shared" si="87"/>
        <v>0</v>
      </c>
      <c r="S94" s="31">
        <f t="shared" si="87"/>
        <v>0</v>
      </c>
      <c r="T94" s="14">
        <f t="shared" si="87"/>
        <v>0</v>
      </c>
      <c r="U94" s="14">
        <f t="shared" si="87"/>
        <v>0</v>
      </c>
      <c r="V94" s="14">
        <f t="shared" si="87"/>
        <v>0</v>
      </c>
      <c r="W94" s="210">
        <f t="shared" si="87"/>
        <v>0</v>
      </c>
      <c r="X94" s="281">
        <f t="shared" si="85"/>
        <v>0</v>
      </c>
      <c r="Y94" s="259"/>
    </row>
    <row r="95" spans="2:25">
      <c r="B95" s="176" t="s">
        <v>337</v>
      </c>
      <c r="C95" s="1325"/>
      <c r="D95" s="1308" t="s">
        <v>101</v>
      </c>
      <c r="E95" s="1330" t="s">
        <v>109</v>
      </c>
      <c r="F95" s="1330"/>
      <c r="G95" s="170" t="s">
        <v>384</v>
      </c>
      <c r="H95" s="374" t="s">
        <v>0</v>
      </c>
      <c r="I95" s="11">
        <f>+ROUND(I93/(1-I79/100),2)</f>
        <v>0</v>
      </c>
      <c r="J95" s="11">
        <f t="shared" ref="J95:W95" si="88">+ROUND(J93/(1-J79/100),2)</f>
        <v>0</v>
      </c>
      <c r="K95" s="11">
        <f t="shared" si="88"/>
        <v>0</v>
      </c>
      <c r="L95" s="11">
        <f t="shared" si="88"/>
        <v>0</v>
      </c>
      <c r="M95" s="11">
        <f t="shared" si="88"/>
        <v>0</v>
      </c>
      <c r="N95" s="11">
        <f t="shared" si="88"/>
        <v>0</v>
      </c>
      <c r="O95" s="11">
        <f t="shared" si="88"/>
        <v>0</v>
      </c>
      <c r="P95" s="10">
        <f t="shared" si="88"/>
        <v>0</v>
      </c>
      <c r="Q95" s="11">
        <f t="shared" si="88"/>
        <v>0</v>
      </c>
      <c r="R95" s="11">
        <f t="shared" si="88"/>
        <v>0</v>
      </c>
      <c r="S95" s="12">
        <f t="shared" si="88"/>
        <v>0</v>
      </c>
      <c r="T95" s="12">
        <f t="shared" si="88"/>
        <v>0</v>
      </c>
      <c r="U95" s="12">
        <f t="shared" si="88"/>
        <v>0</v>
      </c>
      <c r="V95" s="12">
        <f t="shared" si="88"/>
        <v>0</v>
      </c>
      <c r="W95" s="211">
        <f t="shared" si="88"/>
        <v>0</v>
      </c>
      <c r="X95" s="488">
        <f t="shared" si="85"/>
        <v>0</v>
      </c>
      <c r="Y95" s="260"/>
    </row>
    <row r="96" spans="2:25">
      <c r="B96" s="368" t="s">
        <v>362</v>
      </c>
      <c r="C96" s="1325"/>
      <c r="D96" s="1308"/>
      <c r="E96" s="1336" t="s">
        <v>110</v>
      </c>
      <c r="F96" s="1336"/>
      <c r="G96" s="170" t="str">
        <f>"=⑬"</f>
        <v>=⑬</v>
      </c>
      <c r="H96" s="371" t="s">
        <v>38</v>
      </c>
      <c r="I96" s="14">
        <f t="shared" ref="I96:W96" si="89">+I93</f>
        <v>0</v>
      </c>
      <c r="J96" s="14">
        <f t="shared" si="89"/>
        <v>0</v>
      </c>
      <c r="K96" s="14">
        <f t="shared" si="89"/>
        <v>0</v>
      </c>
      <c r="L96" s="14">
        <f t="shared" si="89"/>
        <v>0</v>
      </c>
      <c r="M96" s="14">
        <f t="shared" si="89"/>
        <v>0</v>
      </c>
      <c r="N96" s="14">
        <f t="shared" si="89"/>
        <v>0</v>
      </c>
      <c r="O96" s="14">
        <f t="shared" si="89"/>
        <v>0</v>
      </c>
      <c r="P96" s="15">
        <f t="shared" si="89"/>
        <v>0</v>
      </c>
      <c r="Q96" s="14">
        <f t="shared" si="89"/>
        <v>0</v>
      </c>
      <c r="R96" s="14">
        <f t="shared" si="89"/>
        <v>0</v>
      </c>
      <c r="S96" s="14">
        <f t="shared" si="89"/>
        <v>0</v>
      </c>
      <c r="T96" s="14">
        <f t="shared" si="89"/>
        <v>0</v>
      </c>
      <c r="U96" s="39">
        <f t="shared" si="89"/>
        <v>0</v>
      </c>
      <c r="V96" s="14">
        <f t="shared" si="89"/>
        <v>0</v>
      </c>
      <c r="W96" s="210">
        <f t="shared" si="89"/>
        <v>0</v>
      </c>
      <c r="X96" s="281">
        <f t="shared" si="85"/>
        <v>0</v>
      </c>
      <c r="Y96" s="259"/>
    </row>
    <row r="97" spans="2:25">
      <c r="B97" s="368" t="s">
        <v>363</v>
      </c>
      <c r="C97" s="1325"/>
      <c r="D97" s="1308"/>
      <c r="E97" s="1336" t="s">
        <v>111</v>
      </c>
      <c r="F97" s="1336"/>
      <c r="G97" s="170" t="s">
        <v>385</v>
      </c>
      <c r="H97" s="371" t="s">
        <v>0</v>
      </c>
      <c r="I97" s="14">
        <f t="shared" ref="I97:W97" si="90">+I92-I95</f>
        <v>0</v>
      </c>
      <c r="J97" s="14">
        <f t="shared" si="90"/>
        <v>0</v>
      </c>
      <c r="K97" s="14">
        <f t="shared" si="90"/>
        <v>0</v>
      </c>
      <c r="L97" s="14">
        <f t="shared" si="90"/>
        <v>0</v>
      </c>
      <c r="M97" s="14">
        <f t="shared" si="90"/>
        <v>0</v>
      </c>
      <c r="N97" s="14">
        <f t="shared" si="90"/>
        <v>0</v>
      </c>
      <c r="O97" s="14">
        <f t="shared" si="90"/>
        <v>0</v>
      </c>
      <c r="P97" s="15">
        <f t="shared" si="90"/>
        <v>0</v>
      </c>
      <c r="Q97" s="14">
        <f t="shared" si="90"/>
        <v>0</v>
      </c>
      <c r="R97" s="14">
        <f t="shared" si="90"/>
        <v>0</v>
      </c>
      <c r="S97" s="16">
        <f t="shared" si="90"/>
        <v>0</v>
      </c>
      <c r="T97" s="16">
        <f t="shared" si="90"/>
        <v>0</v>
      </c>
      <c r="U97" s="16">
        <f t="shared" si="90"/>
        <v>0</v>
      </c>
      <c r="V97" s="16">
        <f t="shared" si="90"/>
        <v>0</v>
      </c>
      <c r="W97" s="210">
        <f t="shared" si="90"/>
        <v>0</v>
      </c>
      <c r="X97" s="15">
        <f t="shared" si="85"/>
        <v>0</v>
      </c>
      <c r="Y97" s="259"/>
    </row>
    <row r="98" spans="2:25" ht="40.5">
      <c r="B98" s="368" t="s">
        <v>364</v>
      </c>
      <c r="C98" s="1325"/>
      <c r="D98" s="1308"/>
      <c r="E98" s="1336" t="s">
        <v>108</v>
      </c>
      <c r="F98" s="1336"/>
      <c r="G98" s="186" t="s">
        <v>386</v>
      </c>
      <c r="H98" s="371" t="s">
        <v>90</v>
      </c>
      <c r="I98" s="14">
        <f>+ROUND((100-I80)*(I92-I96)*4.186+I97*2258+(100-I80)*I96*0.3*4.184,2)</f>
        <v>0</v>
      </c>
      <c r="J98" s="14">
        <f t="shared" ref="J98:W98" si="91">+ROUND((100-J80)*(J92-J96)*4.186+J97*2258+(100-J80)*J96*0.3*4.184,2)</f>
        <v>0</v>
      </c>
      <c r="K98" s="14">
        <f t="shared" si="91"/>
        <v>0</v>
      </c>
      <c r="L98" s="14">
        <f t="shared" si="91"/>
        <v>0</v>
      </c>
      <c r="M98" s="14">
        <f t="shared" si="91"/>
        <v>0</v>
      </c>
      <c r="N98" s="14">
        <f t="shared" si="91"/>
        <v>0</v>
      </c>
      <c r="O98" s="14">
        <f t="shared" si="91"/>
        <v>0</v>
      </c>
      <c r="P98" s="15">
        <f t="shared" si="91"/>
        <v>0</v>
      </c>
      <c r="Q98" s="14">
        <f t="shared" si="91"/>
        <v>0</v>
      </c>
      <c r="R98" s="14">
        <f t="shared" si="91"/>
        <v>0</v>
      </c>
      <c r="S98" s="16">
        <f t="shared" si="91"/>
        <v>0</v>
      </c>
      <c r="T98" s="16">
        <f t="shared" si="91"/>
        <v>0</v>
      </c>
      <c r="U98" s="16">
        <f t="shared" si="91"/>
        <v>0</v>
      </c>
      <c r="V98" s="16">
        <f t="shared" si="91"/>
        <v>0</v>
      </c>
      <c r="W98" s="210">
        <f t="shared" si="91"/>
        <v>0</v>
      </c>
      <c r="X98" s="15">
        <f t="shared" si="85"/>
        <v>0</v>
      </c>
      <c r="Y98" s="261" t="s">
        <v>112</v>
      </c>
    </row>
    <row r="99" spans="2:25">
      <c r="B99" s="188" t="s">
        <v>365</v>
      </c>
      <c r="C99" s="1325"/>
      <c r="D99" s="1347" t="s">
        <v>127</v>
      </c>
      <c r="E99" s="1337" t="s">
        <v>128</v>
      </c>
      <c r="F99" s="177" t="s">
        <v>369</v>
      </c>
      <c r="G99" s="178" t="s">
        <v>387</v>
      </c>
      <c r="H99" s="1221"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366</v>
      </c>
      <c r="C100" s="1325"/>
      <c r="D100" s="1348"/>
      <c r="E100" s="1338"/>
      <c r="F100" s="179" t="s">
        <v>370</v>
      </c>
      <c r="G100" s="178" t="s">
        <v>388</v>
      </c>
      <c r="H100" s="1221"/>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0</v>
      </c>
      <c r="Y100" s="369"/>
    </row>
    <row r="101" spans="2:25">
      <c r="B101" s="188" t="s">
        <v>367</v>
      </c>
      <c r="C101" s="1325"/>
      <c r="D101" s="1348"/>
      <c r="E101" s="1338"/>
      <c r="F101" s="179" t="s">
        <v>371</v>
      </c>
      <c r="G101" s="178" t="s">
        <v>389</v>
      </c>
      <c r="H101" s="1221"/>
      <c r="I101" s="208">
        <f t="shared" ref="I101:W101" si="94">IFERROR(IF(I89&gt;=I86,IF((I86-I85-I89)/J99&lt;0,0,+ROUND((I86-I85-I89)/J99,0)),"-"),0)</f>
        <v>0</v>
      </c>
      <c r="J101" s="208">
        <f t="shared" si="94"/>
        <v>0</v>
      </c>
      <c r="K101" s="208">
        <f t="shared" si="94"/>
        <v>0</v>
      </c>
      <c r="L101" s="208">
        <f t="shared" si="94"/>
        <v>0</v>
      </c>
      <c r="M101" s="208">
        <f t="shared" si="94"/>
        <v>0</v>
      </c>
      <c r="N101" s="208">
        <f t="shared" si="94"/>
        <v>0</v>
      </c>
      <c r="O101" s="208">
        <f t="shared" si="94"/>
        <v>0</v>
      </c>
      <c r="P101" s="208">
        <f t="shared" si="94"/>
        <v>0</v>
      </c>
      <c r="Q101" s="208">
        <f t="shared" si="94"/>
        <v>0</v>
      </c>
      <c r="R101" s="208">
        <f t="shared" si="94"/>
        <v>0</v>
      </c>
      <c r="S101" s="208">
        <f t="shared" si="94"/>
        <v>0</v>
      </c>
      <c r="T101" s="208">
        <f t="shared" si="94"/>
        <v>0</v>
      </c>
      <c r="U101" s="208">
        <f t="shared" si="94"/>
        <v>0</v>
      </c>
      <c r="V101" s="208">
        <f t="shared" si="94"/>
        <v>0</v>
      </c>
      <c r="W101" s="311">
        <f t="shared" si="94"/>
        <v>0</v>
      </c>
      <c r="X101" s="208">
        <f>IFERROR(IF(X89&gt;=X86,IF((X86-X85-X89)/Y99&lt;0,0,+ROUND((X86-X85-X89)/Y99,0)),"-"),0)</f>
        <v>0</v>
      </c>
      <c r="Y101" s="369"/>
    </row>
    <row r="102" spans="2:25" ht="14.25" thickBot="1">
      <c r="B102" s="305" t="s">
        <v>368</v>
      </c>
      <c r="C102" s="1335"/>
      <c r="D102" s="1357"/>
      <c r="E102" s="1358"/>
      <c r="F102" s="180" t="s">
        <v>372</v>
      </c>
      <c r="G102" s="181" t="s">
        <v>373</v>
      </c>
      <c r="H102" s="1379"/>
      <c r="I102" s="209">
        <f t="shared" ref="I102:W102" si="95">IFERROR(IF(I89&gt;=I86,ROUND((I86+I98-I89)/J99,0),"-"),0)</f>
        <v>0</v>
      </c>
      <c r="J102" s="209">
        <f t="shared" si="95"/>
        <v>0</v>
      </c>
      <c r="K102" s="209">
        <f t="shared" si="95"/>
        <v>0</v>
      </c>
      <c r="L102" s="209">
        <f t="shared" si="95"/>
        <v>0</v>
      </c>
      <c r="M102" s="209">
        <f t="shared" si="95"/>
        <v>0</v>
      </c>
      <c r="N102" s="209">
        <f t="shared" si="95"/>
        <v>0</v>
      </c>
      <c r="O102" s="209">
        <f t="shared" si="95"/>
        <v>0</v>
      </c>
      <c r="P102" s="209">
        <f t="shared" si="95"/>
        <v>0</v>
      </c>
      <c r="Q102" s="209">
        <f t="shared" si="95"/>
        <v>0</v>
      </c>
      <c r="R102" s="209">
        <f t="shared" si="95"/>
        <v>0</v>
      </c>
      <c r="S102" s="209">
        <f t="shared" si="95"/>
        <v>0</v>
      </c>
      <c r="T102" s="209">
        <f t="shared" si="95"/>
        <v>0</v>
      </c>
      <c r="U102" s="209">
        <f t="shared" si="95"/>
        <v>0</v>
      </c>
      <c r="V102" s="209">
        <f t="shared" si="95"/>
        <v>0</v>
      </c>
      <c r="W102" s="312">
        <f t="shared" si="95"/>
        <v>0</v>
      </c>
      <c r="X102" s="209">
        <f>IFERROR(IF(X89&gt;=X86,ROUND((X86+X98-X89)/Y99,0),"-"),0)</f>
        <v>0</v>
      </c>
      <c r="Y102" s="197"/>
    </row>
    <row r="110" spans="2:25" ht="30.6" customHeight="1"/>
    <row r="111" spans="2:25" ht="30.6" customHeight="1"/>
  </sheetData>
  <mergeCells count="155">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ageMargins left="0.23622047244094491" right="0.23622047244094491" top="0.74803149606299213" bottom="0.74803149606299213" header="0.31496062992125984" footer="0.31496062992125984"/>
  <pageSetup paperSize="9" scale="35" orientation="portrait" r:id="rId1"/>
  <rowBreaks count="1" manualBreakCount="1">
    <brk id="51" max="16383" man="1"/>
  </rowBreaks>
  <colBreaks count="1" manualBreakCount="1">
    <brk id="25" min="2" max="101"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2:I90"/>
  <sheetViews>
    <sheetView showGridLines="0" workbookViewId="0"/>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455</v>
      </c>
      <c r="D2" t="s">
        <v>573</v>
      </c>
    </row>
    <row r="3" spans="2:9" ht="14.25" thickBot="1">
      <c r="B3" s="245"/>
      <c r="C3" s="220" t="s">
        <v>275</v>
      </c>
      <c r="D3" s="221" t="s">
        <v>158</v>
      </c>
      <c r="E3" s="221" t="s">
        <v>23</v>
      </c>
      <c r="F3" s="221" t="s">
        <v>24</v>
      </c>
      <c r="G3" s="67" t="s">
        <v>152</v>
      </c>
      <c r="H3" s="67" t="s">
        <v>153</v>
      </c>
      <c r="I3" s="68" t="s">
        <v>25</v>
      </c>
    </row>
    <row r="4" spans="2:9" ht="15.75">
      <c r="B4" s="1380" t="s">
        <v>154</v>
      </c>
      <c r="C4" s="1383">
        <f>+⑤基本情報入力!L12</f>
        <v>0</v>
      </c>
      <c r="D4" s="1385" t="str">
        <f>+⑤基本情報入力!L13</f>
        <v>濃縮汚泥</v>
      </c>
      <c r="E4" s="246" t="s">
        <v>333</v>
      </c>
      <c r="F4" s="246" t="s">
        <v>2</v>
      </c>
      <c r="G4" s="247">
        <f>ROUND(+'物質収支（既存）'!I8,2)</f>
        <v>0</v>
      </c>
      <c r="H4" s="247">
        <f>ROUND(+'物質収支（既存）'!I59,2)</f>
        <v>0</v>
      </c>
      <c r="I4" s="248"/>
    </row>
    <row r="5" spans="2:9" ht="15.75">
      <c r="B5" s="1381"/>
      <c r="C5" s="1384"/>
      <c r="D5" s="1385"/>
      <c r="E5" s="249" t="s">
        <v>334</v>
      </c>
      <c r="F5" s="249" t="s">
        <v>220</v>
      </c>
      <c r="G5" s="250">
        <f>G4*365</f>
        <v>0</v>
      </c>
      <c r="H5" s="250">
        <f>H4*365</f>
        <v>0</v>
      </c>
      <c r="I5" s="233"/>
    </row>
    <row r="6" spans="2:9">
      <c r="B6" s="1381"/>
      <c r="C6" s="1384"/>
      <c r="D6" s="1385"/>
      <c r="E6" s="249" t="s">
        <v>44</v>
      </c>
      <c r="F6" s="249" t="s">
        <v>21</v>
      </c>
      <c r="G6" s="250">
        <f>ROUND((100-'物質収支（既存）'!I15),2)</f>
        <v>100</v>
      </c>
      <c r="H6" s="250">
        <f>ROUND((100-'物質収支（既存）'!I66),2)</f>
        <v>100</v>
      </c>
      <c r="I6" s="233"/>
    </row>
    <row r="7" spans="2:9" ht="15.75">
      <c r="B7" s="1381"/>
      <c r="C7" s="1384"/>
      <c r="D7" s="1385"/>
      <c r="E7" s="249" t="s">
        <v>45</v>
      </c>
      <c r="F7" s="249" t="s">
        <v>2</v>
      </c>
      <c r="G7" s="250">
        <f>ROUND(+(100-G6)*G4,2)</f>
        <v>0</v>
      </c>
      <c r="H7" s="250">
        <f>ROUND(+(100-H6)*H4,2)</f>
        <v>0</v>
      </c>
      <c r="I7" s="233"/>
    </row>
    <row r="8" spans="2:9">
      <c r="B8" s="1381"/>
      <c r="C8" s="1384"/>
      <c r="D8" s="1385"/>
      <c r="E8" s="249" t="s">
        <v>92</v>
      </c>
      <c r="F8" s="249" t="s">
        <v>27</v>
      </c>
      <c r="G8" s="250">
        <f>ROUND(+'物質収支（既存）'!I16,2)</f>
        <v>0</v>
      </c>
      <c r="H8" s="250">
        <f>ROUND(+'物質収支（既存）'!I67,2)</f>
        <v>0</v>
      </c>
      <c r="I8" s="233"/>
    </row>
    <row r="9" spans="2:9" ht="16.5" thickBot="1">
      <c r="B9" s="1381"/>
      <c r="C9" s="1384"/>
      <c r="D9" s="1386"/>
      <c r="E9" s="251" t="s">
        <v>94</v>
      </c>
      <c r="F9" s="251" t="s">
        <v>26</v>
      </c>
      <c r="G9" s="252">
        <f>ROUND(+'物質収支（既存）'!I18,2)</f>
        <v>0</v>
      </c>
      <c r="H9" s="252">
        <f>ROUND(+'物質収支（既存）'!I69,2)</f>
        <v>0</v>
      </c>
      <c r="I9" s="253"/>
    </row>
    <row r="10" spans="2:9" ht="15.75">
      <c r="B10" s="1381"/>
      <c r="C10" s="1383">
        <f>+⑤基本情報入力!V12</f>
        <v>0</v>
      </c>
      <c r="D10" s="1385">
        <f>+⑤基本情報入力!V13</f>
        <v>0</v>
      </c>
      <c r="E10" s="246" t="s">
        <v>333</v>
      </c>
      <c r="F10" s="246" t="s">
        <v>2</v>
      </c>
      <c r="G10" s="247">
        <f>ROUND(+'物質収支（既存）'!J8,2)</f>
        <v>0</v>
      </c>
      <c r="H10" s="247">
        <f>ROUND(+'物質収支（既存）'!J59,2)</f>
        <v>0</v>
      </c>
      <c r="I10" s="248"/>
    </row>
    <row r="11" spans="2:9" ht="15.75">
      <c r="B11" s="1381"/>
      <c r="C11" s="1384"/>
      <c r="D11" s="1385"/>
      <c r="E11" s="249" t="s">
        <v>334</v>
      </c>
      <c r="F11" s="249" t="s">
        <v>220</v>
      </c>
      <c r="G11" s="250">
        <f>G10*365</f>
        <v>0</v>
      </c>
      <c r="H11" s="250">
        <f>H10*365</f>
        <v>0</v>
      </c>
      <c r="I11" s="233"/>
    </row>
    <row r="12" spans="2:9">
      <c r="B12" s="1381"/>
      <c r="C12" s="1384"/>
      <c r="D12" s="1385"/>
      <c r="E12" s="249" t="s">
        <v>44</v>
      </c>
      <c r="F12" s="249" t="s">
        <v>21</v>
      </c>
      <c r="G12" s="250">
        <f>ROUND((100-'物質収支（既存）'!J15),2)</f>
        <v>100</v>
      </c>
      <c r="H12" s="250">
        <f>ROUND((100-'物質収支（既存）'!J66),2)</f>
        <v>100</v>
      </c>
      <c r="I12" s="233"/>
    </row>
    <row r="13" spans="2:9" ht="15.75">
      <c r="B13" s="1381"/>
      <c r="C13" s="1384"/>
      <c r="D13" s="1385"/>
      <c r="E13" s="249" t="s">
        <v>45</v>
      </c>
      <c r="F13" s="249" t="s">
        <v>2</v>
      </c>
      <c r="G13" s="250">
        <f>ROUND(+(100-G12)*G10,2)</f>
        <v>0</v>
      </c>
      <c r="H13" s="250">
        <f>ROUND(+(100-H12)*H10,2)</f>
        <v>0</v>
      </c>
      <c r="I13" s="233"/>
    </row>
    <row r="14" spans="2:9">
      <c r="B14" s="1381"/>
      <c r="C14" s="1384"/>
      <c r="D14" s="1385"/>
      <c r="E14" s="249" t="s">
        <v>92</v>
      </c>
      <c r="F14" s="249" t="s">
        <v>27</v>
      </c>
      <c r="G14" s="250">
        <f>ROUND(+'物質収支（既存）'!J16,2)</f>
        <v>0</v>
      </c>
      <c r="H14" s="250">
        <f>ROUND(+'物質収支（既存）'!J67,2)</f>
        <v>0</v>
      </c>
      <c r="I14" s="233"/>
    </row>
    <row r="15" spans="2:9" ht="16.5" thickBot="1">
      <c r="B15" s="1381"/>
      <c r="C15" s="1384"/>
      <c r="D15" s="1386"/>
      <c r="E15" s="251" t="s">
        <v>94</v>
      </c>
      <c r="F15" s="251" t="s">
        <v>26</v>
      </c>
      <c r="G15" s="252">
        <f>ROUND(+'物質収支（既存）'!J18,2)</f>
        <v>0</v>
      </c>
      <c r="H15" s="252">
        <f>ROUND(+'物質収支（既存）'!J69,2)</f>
        <v>0</v>
      </c>
      <c r="I15" s="253"/>
    </row>
    <row r="16" spans="2:9" ht="15.75">
      <c r="B16" s="1381"/>
      <c r="C16" s="1383">
        <f>+⑤基本情報入力!AA12</f>
        <v>0</v>
      </c>
      <c r="D16" s="1385">
        <f>+⑤基本情報入力!AA13</f>
        <v>0</v>
      </c>
      <c r="E16" s="246" t="s">
        <v>333</v>
      </c>
      <c r="F16" s="246" t="s">
        <v>2</v>
      </c>
      <c r="G16" s="247">
        <f>ROUND(+'物質収支（既存）'!K8,2)</f>
        <v>0</v>
      </c>
      <c r="H16" s="247">
        <f>ROUND(+'物質収支（既存）'!K59,2)</f>
        <v>0</v>
      </c>
      <c r="I16" s="248"/>
    </row>
    <row r="17" spans="2:9" ht="15.75">
      <c r="B17" s="1381"/>
      <c r="C17" s="1384"/>
      <c r="D17" s="1385"/>
      <c r="E17" s="249" t="s">
        <v>334</v>
      </c>
      <c r="F17" s="249" t="s">
        <v>220</v>
      </c>
      <c r="G17" s="250">
        <f>G16*365</f>
        <v>0</v>
      </c>
      <c r="H17" s="250">
        <f>H16*365</f>
        <v>0</v>
      </c>
      <c r="I17" s="233"/>
    </row>
    <row r="18" spans="2:9">
      <c r="B18" s="1381"/>
      <c r="C18" s="1384"/>
      <c r="D18" s="1385"/>
      <c r="E18" s="249" t="s">
        <v>44</v>
      </c>
      <c r="F18" s="249" t="s">
        <v>21</v>
      </c>
      <c r="G18" s="250">
        <f>ROUND((100-'物質収支（既存）'!K15),2)</f>
        <v>100</v>
      </c>
      <c r="H18" s="250">
        <f>ROUND((100-'物質収支（既存）'!K66),2)</f>
        <v>100</v>
      </c>
      <c r="I18" s="233"/>
    </row>
    <row r="19" spans="2:9" ht="15.75">
      <c r="B19" s="1381"/>
      <c r="C19" s="1384"/>
      <c r="D19" s="1385"/>
      <c r="E19" s="249" t="s">
        <v>45</v>
      </c>
      <c r="F19" s="249" t="s">
        <v>2</v>
      </c>
      <c r="G19" s="250">
        <f>ROUND(+(100-G18)*G16,2)</f>
        <v>0</v>
      </c>
      <c r="H19" s="250">
        <f>ROUND(+(100-H18)*H16,2)</f>
        <v>0</v>
      </c>
      <c r="I19" s="233"/>
    </row>
    <row r="20" spans="2:9">
      <c r="B20" s="1381"/>
      <c r="C20" s="1384"/>
      <c r="D20" s="1385"/>
      <c r="E20" s="249" t="s">
        <v>92</v>
      </c>
      <c r="F20" s="249" t="s">
        <v>27</v>
      </c>
      <c r="G20" s="250">
        <f>ROUND(+'物質収支（既存）'!K16,2)</f>
        <v>0</v>
      </c>
      <c r="H20" s="250">
        <f>ROUND(+'物質収支（既存）'!K67,2)</f>
        <v>0</v>
      </c>
      <c r="I20" s="233"/>
    </row>
    <row r="21" spans="2:9" ht="16.5" thickBot="1">
      <c r="B21" s="1381"/>
      <c r="C21" s="1384"/>
      <c r="D21" s="1386"/>
      <c r="E21" s="251" t="s">
        <v>94</v>
      </c>
      <c r="F21" s="251" t="s">
        <v>26</v>
      </c>
      <c r="G21" s="252">
        <f>ROUND(+'物質収支（既存）'!K18,2)</f>
        <v>0</v>
      </c>
      <c r="H21" s="252">
        <f>ROUND(+'物質収支（既存）'!K69,2)</f>
        <v>0</v>
      </c>
      <c r="I21" s="253"/>
    </row>
    <row r="22" spans="2:9" ht="15.75">
      <c r="B22" s="1381"/>
      <c r="C22" s="1383">
        <f>+⑤基本情報入力!AF12</f>
        <v>0</v>
      </c>
      <c r="D22" s="1385">
        <f>+⑤基本情報入力!AF13</f>
        <v>0</v>
      </c>
      <c r="E22" s="246" t="s">
        <v>333</v>
      </c>
      <c r="F22" s="246" t="s">
        <v>2</v>
      </c>
      <c r="G22" s="247">
        <f>ROUND(+'物質収支（既存）'!L8,2)</f>
        <v>0</v>
      </c>
      <c r="H22" s="247">
        <f>ROUND(+'物質収支（既存）'!L59,2)</f>
        <v>0</v>
      </c>
      <c r="I22" s="248"/>
    </row>
    <row r="23" spans="2:9" ht="15.75">
      <c r="B23" s="1381"/>
      <c r="C23" s="1384"/>
      <c r="D23" s="1385"/>
      <c r="E23" s="249" t="s">
        <v>334</v>
      </c>
      <c r="F23" s="249" t="s">
        <v>220</v>
      </c>
      <c r="G23" s="250">
        <f>G22*365</f>
        <v>0</v>
      </c>
      <c r="H23" s="250">
        <f>H22*365</f>
        <v>0</v>
      </c>
      <c r="I23" s="233"/>
    </row>
    <row r="24" spans="2:9">
      <c r="B24" s="1381"/>
      <c r="C24" s="1384"/>
      <c r="D24" s="1385"/>
      <c r="E24" s="249" t="s">
        <v>44</v>
      </c>
      <c r="F24" s="249" t="s">
        <v>21</v>
      </c>
      <c r="G24" s="250">
        <f>ROUND((100-'物質収支（既存）'!L15),2)</f>
        <v>100</v>
      </c>
      <c r="H24" s="250">
        <f>ROUND((100-'物質収支（既存）'!L66),2)</f>
        <v>100</v>
      </c>
      <c r="I24" s="233"/>
    </row>
    <row r="25" spans="2:9" ht="15.75">
      <c r="B25" s="1381"/>
      <c r="C25" s="1384"/>
      <c r="D25" s="1385"/>
      <c r="E25" s="249" t="s">
        <v>45</v>
      </c>
      <c r="F25" s="249" t="s">
        <v>2</v>
      </c>
      <c r="G25" s="250">
        <f>ROUND(+(100-G24)*G22,2)</f>
        <v>0</v>
      </c>
      <c r="H25" s="250">
        <f>ROUND(+(100-H24)*H22,2)</f>
        <v>0</v>
      </c>
      <c r="I25" s="233"/>
    </row>
    <row r="26" spans="2:9">
      <c r="B26" s="1381"/>
      <c r="C26" s="1384"/>
      <c r="D26" s="1385"/>
      <c r="E26" s="249" t="s">
        <v>92</v>
      </c>
      <c r="F26" s="249" t="s">
        <v>27</v>
      </c>
      <c r="G26" s="250">
        <f>ROUND(+'物質収支（既存）'!L16,2)</f>
        <v>0</v>
      </c>
      <c r="H26" s="250">
        <f>ROUND(+'物質収支（既存）'!L67,2)</f>
        <v>0</v>
      </c>
      <c r="I26" s="233"/>
    </row>
    <row r="27" spans="2:9" ht="16.5" thickBot="1">
      <c r="B27" s="1381"/>
      <c r="C27" s="1384"/>
      <c r="D27" s="1386"/>
      <c r="E27" s="251" t="s">
        <v>94</v>
      </c>
      <c r="F27" s="251" t="s">
        <v>26</v>
      </c>
      <c r="G27" s="252">
        <f>ROUND(+'物質収支（既存）'!L18,2)</f>
        <v>0</v>
      </c>
      <c r="H27" s="252">
        <f>ROUND(+'物質収支（既存）'!L69,2)</f>
        <v>0</v>
      </c>
      <c r="I27" s="253"/>
    </row>
    <row r="28" spans="2:9" ht="15.75">
      <c r="B28" s="1381"/>
      <c r="C28" s="1383">
        <f>+⑤基本情報入力!AK12</f>
        <v>0</v>
      </c>
      <c r="D28" s="1385">
        <f>+⑤基本情報入力!AK13</f>
        <v>0</v>
      </c>
      <c r="E28" s="246" t="s">
        <v>333</v>
      </c>
      <c r="F28" s="246" t="s">
        <v>2</v>
      </c>
      <c r="G28" s="247">
        <f>ROUND(+'物質収支（既存）'!M8,2)</f>
        <v>0</v>
      </c>
      <c r="H28" s="247">
        <f>ROUND(+'物質収支（既存）'!M59,2)</f>
        <v>0</v>
      </c>
      <c r="I28" s="248"/>
    </row>
    <row r="29" spans="2:9" ht="15.75">
      <c r="B29" s="1381"/>
      <c r="C29" s="1384"/>
      <c r="D29" s="1385"/>
      <c r="E29" s="249" t="s">
        <v>334</v>
      </c>
      <c r="F29" s="249" t="s">
        <v>220</v>
      </c>
      <c r="G29" s="250">
        <f>G28*365</f>
        <v>0</v>
      </c>
      <c r="H29" s="250">
        <f>H28*365</f>
        <v>0</v>
      </c>
      <c r="I29" s="233"/>
    </row>
    <row r="30" spans="2:9">
      <c r="B30" s="1381"/>
      <c r="C30" s="1384"/>
      <c r="D30" s="1385"/>
      <c r="E30" s="249" t="s">
        <v>44</v>
      </c>
      <c r="F30" s="249" t="s">
        <v>21</v>
      </c>
      <c r="G30" s="250">
        <f>ROUND((100-'物質収支（既存）'!M15),2)</f>
        <v>100</v>
      </c>
      <c r="H30" s="250">
        <f>ROUND((100-'物質収支（既存）'!M66),2)</f>
        <v>100</v>
      </c>
      <c r="I30" s="233"/>
    </row>
    <row r="31" spans="2:9" ht="15.75">
      <c r="B31" s="1381"/>
      <c r="C31" s="1384"/>
      <c r="D31" s="1385"/>
      <c r="E31" s="249" t="s">
        <v>45</v>
      </c>
      <c r="F31" s="249" t="s">
        <v>2</v>
      </c>
      <c r="G31" s="250">
        <f>ROUND(+(100-G30)*G28,2)</f>
        <v>0</v>
      </c>
      <c r="H31" s="250">
        <f>ROUND(+(100-H30)*H28,2)</f>
        <v>0</v>
      </c>
      <c r="I31" s="233"/>
    </row>
    <row r="32" spans="2:9">
      <c r="B32" s="1381"/>
      <c r="C32" s="1384"/>
      <c r="D32" s="1385"/>
      <c r="E32" s="249" t="s">
        <v>92</v>
      </c>
      <c r="F32" s="249" t="s">
        <v>27</v>
      </c>
      <c r="G32" s="250">
        <f>ROUND(+'物質収支（既存）'!M16,2)</f>
        <v>0</v>
      </c>
      <c r="H32" s="250">
        <f>ROUND(+'物質収支（既存）'!M67,2)</f>
        <v>0</v>
      </c>
      <c r="I32" s="233"/>
    </row>
    <row r="33" spans="2:9" ht="16.5" thickBot="1">
      <c r="B33" s="1381"/>
      <c r="C33" s="1384"/>
      <c r="D33" s="1386"/>
      <c r="E33" s="251" t="s">
        <v>94</v>
      </c>
      <c r="F33" s="251" t="s">
        <v>26</v>
      </c>
      <c r="G33" s="252">
        <f>ROUND(+'物質収支（既存）'!M18,2)</f>
        <v>0</v>
      </c>
      <c r="H33" s="252">
        <f>ROUND(+'物質収支（既存）'!M69,2)</f>
        <v>0</v>
      </c>
      <c r="I33" s="253"/>
    </row>
    <row r="34" spans="2:9" ht="15.75">
      <c r="B34" s="1381"/>
      <c r="C34" s="1383">
        <f>+⑤基本情報入力!AP12</f>
        <v>0</v>
      </c>
      <c r="D34" s="1385">
        <f>+⑤基本情報入力!AP13</f>
        <v>0</v>
      </c>
      <c r="E34" s="246" t="s">
        <v>333</v>
      </c>
      <c r="F34" s="246" t="s">
        <v>2</v>
      </c>
      <c r="G34" s="247">
        <f>ROUND(+'物質収支（既存）'!N8,2)</f>
        <v>0</v>
      </c>
      <c r="H34" s="247">
        <f>ROUND(+'物質収支（既存）'!N59,2)</f>
        <v>0</v>
      </c>
      <c r="I34" s="248"/>
    </row>
    <row r="35" spans="2:9" ht="15.75">
      <c r="B35" s="1381"/>
      <c r="C35" s="1384"/>
      <c r="D35" s="1385"/>
      <c r="E35" s="249" t="s">
        <v>334</v>
      </c>
      <c r="F35" s="249" t="s">
        <v>220</v>
      </c>
      <c r="G35" s="250">
        <f>G34*365</f>
        <v>0</v>
      </c>
      <c r="H35" s="250">
        <f>H34*365</f>
        <v>0</v>
      </c>
      <c r="I35" s="233"/>
    </row>
    <row r="36" spans="2:9">
      <c r="B36" s="1381"/>
      <c r="C36" s="1384"/>
      <c r="D36" s="1385"/>
      <c r="E36" s="249" t="s">
        <v>44</v>
      </c>
      <c r="F36" s="249" t="s">
        <v>21</v>
      </c>
      <c r="G36" s="250">
        <f>ROUND((100-'物質収支（既存）'!N15),2)</f>
        <v>100</v>
      </c>
      <c r="H36" s="250">
        <f>ROUND((100-'物質収支（既存）'!N66),2)</f>
        <v>100</v>
      </c>
      <c r="I36" s="233"/>
    </row>
    <row r="37" spans="2:9" ht="15.75">
      <c r="B37" s="1381"/>
      <c r="C37" s="1384"/>
      <c r="D37" s="1385"/>
      <c r="E37" s="249" t="s">
        <v>45</v>
      </c>
      <c r="F37" s="249" t="s">
        <v>2</v>
      </c>
      <c r="G37" s="250">
        <f>ROUND(+(100-G36)*G34,2)</f>
        <v>0</v>
      </c>
      <c r="H37" s="250">
        <f>ROUND(+(100-H36)*H34,2)</f>
        <v>0</v>
      </c>
      <c r="I37" s="233"/>
    </row>
    <row r="38" spans="2:9">
      <c r="B38" s="1381"/>
      <c r="C38" s="1384"/>
      <c r="D38" s="1385"/>
      <c r="E38" s="249" t="s">
        <v>92</v>
      </c>
      <c r="F38" s="249" t="s">
        <v>27</v>
      </c>
      <c r="G38" s="250">
        <f>ROUND(+'物質収支（既存）'!N16,2)</f>
        <v>0</v>
      </c>
      <c r="H38" s="250">
        <f>ROUND(+'物質収支（既存）'!N67,2)</f>
        <v>0</v>
      </c>
      <c r="I38" s="233"/>
    </row>
    <row r="39" spans="2:9" ht="16.5" thickBot="1">
      <c r="B39" s="1381"/>
      <c r="C39" s="1387"/>
      <c r="D39" s="1386"/>
      <c r="E39" s="251" t="s">
        <v>94</v>
      </c>
      <c r="F39" s="251" t="s">
        <v>26</v>
      </c>
      <c r="G39" s="252">
        <f>ROUND(+'物質収支（既存）'!N18,2)</f>
        <v>0</v>
      </c>
      <c r="H39" s="252">
        <f>ROUND(+'物質収支（既存）'!N69,2)</f>
        <v>0</v>
      </c>
      <c r="I39" s="253"/>
    </row>
    <row r="40" spans="2:9" ht="15.75">
      <c r="B40" s="1381"/>
      <c r="C40" s="1383">
        <f>+⑤基本情報入力!AU12</f>
        <v>0</v>
      </c>
      <c r="D40" s="1385">
        <f>+⑤基本情報入力!AU13</f>
        <v>0</v>
      </c>
      <c r="E40" s="246" t="s">
        <v>333</v>
      </c>
      <c r="F40" s="246" t="s">
        <v>2</v>
      </c>
      <c r="G40" s="247">
        <f>ROUND(+'物質収支（既存）'!O8,2)</f>
        <v>0</v>
      </c>
      <c r="H40" s="247">
        <f>ROUND(+'物質収支（既存）'!O59,2)</f>
        <v>0</v>
      </c>
      <c r="I40" s="248"/>
    </row>
    <row r="41" spans="2:9" ht="15.75">
      <c r="B41" s="1381"/>
      <c r="C41" s="1384"/>
      <c r="D41" s="1385"/>
      <c r="E41" s="249" t="s">
        <v>334</v>
      </c>
      <c r="F41" s="249" t="s">
        <v>220</v>
      </c>
      <c r="G41" s="250">
        <f>G40*365</f>
        <v>0</v>
      </c>
      <c r="H41" s="250">
        <f>H40*365</f>
        <v>0</v>
      </c>
      <c r="I41" s="233"/>
    </row>
    <row r="42" spans="2:9">
      <c r="B42" s="1381"/>
      <c r="C42" s="1384"/>
      <c r="D42" s="1385"/>
      <c r="E42" s="249" t="s">
        <v>44</v>
      </c>
      <c r="F42" s="249" t="s">
        <v>21</v>
      </c>
      <c r="G42" s="250">
        <f>ROUND((100-'物質収支（既存）'!O15),2)</f>
        <v>100</v>
      </c>
      <c r="H42" s="250">
        <f>ROUND((100-'物質収支（既存）'!O66),2)</f>
        <v>100</v>
      </c>
      <c r="I42" s="233"/>
    </row>
    <row r="43" spans="2:9" ht="15.75">
      <c r="B43" s="1381"/>
      <c r="C43" s="1384"/>
      <c r="D43" s="1385"/>
      <c r="E43" s="249" t="s">
        <v>45</v>
      </c>
      <c r="F43" s="249" t="s">
        <v>2</v>
      </c>
      <c r="G43" s="250">
        <f>ROUND(+(100-G42)*G40,2)</f>
        <v>0</v>
      </c>
      <c r="H43" s="250">
        <f>ROUND(+(100-H42)*H40,2)</f>
        <v>0</v>
      </c>
      <c r="I43" s="233"/>
    </row>
    <row r="44" spans="2:9">
      <c r="B44" s="1381"/>
      <c r="C44" s="1384"/>
      <c r="D44" s="1385"/>
      <c r="E44" s="249" t="s">
        <v>92</v>
      </c>
      <c r="F44" s="249" t="s">
        <v>27</v>
      </c>
      <c r="G44" s="250">
        <f>ROUND(+'物質収支（既存）'!O16,2)</f>
        <v>0</v>
      </c>
      <c r="H44" s="250">
        <f>ROUND(+'物質収支（既存）'!O67,2)</f>
        <v>0</v>
      </c>
      <c r="I44" s="233"/>
    </row>
    <row r="45" spans="2:9" ht="16.5" thickBot="1">
      <c r="B45" s="1381"/>
      <c r="C45" s="1387"/>
      <c r="D45" s="1386"/>
      <c r="E45" s="251" t="s">
        <v>94</v>
      </c>
      <c r="F45" s="251" t="s">
        <v>26</v>
      </c>
      <c r="G45" s="252">
        <f>ROUND(+'物質収支（既存）'!O18,2)</f>
        <v>0</v>
      </c>
      <c r="H45" s="252">
        <f>ROUND(+'物質収支（既存）'!O69,2)</f>
        <v>0</v>
      </c>
      <c r="I45" s="253"/>
    </row>
    <row r="46" spans="2:9" ht="15.75">
      <c r="B46" s="1381"/>
      <c r="C46" s="1383">
        <f>+⑤基本情報入力!L29</f>
        <v>0</v>
      </c>
      <c r="D46" s="1388" t="str">
        <f>+⑤基本情報入力!L30</f>
        <v>し尿</v>
      </c>
      <c r="E46" s="246" t="s">
        <v>333</v>
      </c>
      <c r="F46" s="246" t="s">
        <v>2</v>
      </c>
      <c r="G46" s="247">
        <f>+ROUND('物質収支（既存）'!P8,2)</f>
        <v>0</v>
      </c>
      <c r="H46" s="247">
        <f>+ROUND('物質収支（既存）'!P59,2)</f>
        <v>0</v>
      </c>
      <c r="I46" s="248"/>
    </row>
    <row r="47" spans="2:9" ht="15.75">
      <c r="B47" s="1381"/>
      <c r="C47" s="1384"/>
      <c r="D47" s="1389"/>
      <c r="E47" s="249" t="s">
        <v>334</v>
      </c>
      <c r="F47" s="249" t="s">
        <v>220</v>
      </c>
      <c r="G47" s="250">
        <f>G46*365</f>
        <v>0</v>
      </c>
      <c r="H47" s="250">
        <f>H46*365</f>
        <v>0</v>
      </c>
      <c r="I47" s="233"/>
    </row>
    <row r="48" spans="2:9">
      <c r="B48" s="1381"/>
      <c r="C48" s="1384"/>
      <c r="D48" s="1130"/>
      <c r="E48" s="249" t="s">
        <v>42</v>
      </c>
      <c r="F48" s="249" t="s">
        <v>21</v>
      </c>
      <c r="G48" s="250">
        <f>+'物質収支（既存）'!P15</f>
        <v>0</v>
      </c>
      <c r="H48" s="250">
        <f>+'物質収支（既存）'!P66</f>
        <v>0</v>
      </c>
      <c r="I48" s="233"/>
    </row>
    <row r="49" spans="2:9">
      <c r="B49" s="1381"/>
      <c r="C49" s="1384"/>
      <c r="D49" s="1130"/>
      <c r="E49" s="249" t="s">
        <v>92</v>
      </c>
      <c r="F49" s="249" t="s">
        <v>27</v>
      </c>
      <c r="G49" s="250">
        <f>+'物質収支（既存）'!P16</f>
        <v>0</v>
      </c>
      <c r="H49" s="250">
        <f>+'物質収支（既存）'!P67</f>
        <v>0</v>
      </c>
      <c r="I49" s="233"/>
    </row>
    <row r="50" spans="2:9" ht="16.5" thickBot="1">
      <c r="B50" s="1381"/>
      <c r="C50" s="1387"/>
      <c r="D50" s="1390"/>
      <c r="E50" s="251" t="s">
        <v>94</v>
      </c>
      <c r="F50" s="251" t="s">
        <v>26</v>
      </c>
      <c r="G50" s="252">
        <f>+'物質収支（既存）'!P18</f>
        <v>0</v>
      </c>
      <c r="H50" s="252">
        <f>+'物質収支（既存）'!P69</f>
        <v>0</v>
      </c>
      <c r="I50" s="253"/>
    </row>
    <row r="51" spans="2:9" ht="15.75">
      <c r="B51" s="1381"/>
      <c r="C51" s="1383">
        <f>+⑤基本情報入力!Q29</f>
        <v>0</v>
      </c>
      <c r="D51" s="1388" t="str">
        <f>+⑤基本情報入力!Q30</f>
        <v>浄化槽汚泥</v>
      </c>
      <c r="E51" s="246" t="s">
        <v>333</v>
      </c>
      <c r="F51" s="246" t="s">
        <v>2</v>
      </c>
      <c r="G51" s="247">
        <f>ROUND('物質収支（既存）'!Q8,2)</f>
        <v>0</v>
      </c>
      <c r="H51" s="247">
        <f>ROUND(+'物質収支（既存）'!Q59,2)</f>
        <v>0</v>
      </c>
      <c r="I51" s="248"/>
    </row>
    <row r="52" spans="2:9" ht="15.75">
      <c r="B52" s="1381"/>
      <c r="C52" s="1384"/>
      <c r="D52" s="1389"/>
      <c r="E52" s="249" t="s">
        <v>334</v>
      </c>
      <c r="F52" s="249" t="s">
        <v>220</v>
      </c>
      <c r="G52" s="250">
        <f>G51*365</f>
        <v>0</v>
      </c>
      <c r="H52" s="250">
        <f>H51*365</f>
        <v>0</v>
      </c>
      <c r="I52" s="233"/>
    </row>
    <row r="53" spans="2:9">
      <c r="B53" s="1381"/>
      <c r="C53" s="1384"/>
      <c r="D53" s="1130"/>
      <c r="E53" s="249" t="s">
        <v>42</v>
      </c>
      <c r="F53" s="249" t="s">
        <v>21</v>
      </c>
      <c r="G53" s="250">
        <f>+'物質収支（既存）'!Q15</f>
        <v>0</v>
      </c>
      <c r="H53" s="250">
        <f>+'物質収支（既存）'!Q66</f>
        <v>0</v>
      </c>
      <c r="I53" s="233"/>
    </row>
    <row r="54" spans="2:9">
      <c r="B54" s="1381"/>
      <c r="C54" s="1384"/>
      <c r="D54" s="1130"/>
      <c r="E54" s="249" t="s">
        <v>92</v>
      </c>
      <c r="F54" s="249" t="s">
        <v>27</v>
      </c>
      <c r="G54" s="250">
        <f>+'物質収支（既存）'!Q16</f>
        <v>0</v>
      </c>
      <c r="H54" s="250">
        <f>+'物質収支（既存）'!Q67</f>
        <v>0</v>
      </c>
      <c r="I54" s="233"/>
    </row>
    <row r="55" spans="2:9" ht="16.5" thickBot="1">
      <c r="B55" s="1381"/>
      <c r="C55" s="1387"/>
      <c r="D55" s="1390"/>
      <c r="E55" s="251" t="s">
        <v>94</v>
      </c>
      <c r="F55" s="251" t="s">
        <v>26</v>
      </c>
      <c r="G55" s="252">
        <f>+'物質収支（既存）'!Q18</f>
        <v>0</v>
      </c>
      <c r="H55" s="252">
        <f>+'物質収支（既存）'!Q69</f>
        <v>0</v>
      </c>
      <c r="I55" s="253"/>
    </row>
    <row r="56" spans="2:9" ht="15.75">
      <c r="B56" s="1381"/>
      <c r="C56" s="1383">
        <f>+⑤基本情報入力!V29</f>
        <v>0</v>
      </c>
      <c r="D56" s="1388" t="str">
        <f>+⑤基本情報入力!V30</f>
        <v>集落排水汚泥</v>
      </c>
      <c r="E56" s="246" t="s">
        <v>333</v>
      </c>
      <c r="F56" s="246" t="s">
        <v>2</v>
      </c>
      <c r="G56" s="247">
        <f>+ROUND('物質収支（既存）'!R8,2)</f>
        <v>0</v>
      </c>
      <c r="H56" s="247">
        <f>+ROUND('物質収支（既存）'!R59,2)</f>
        <v>0</v>
      </c>
      <c r="I56" s="248"/>
    </row>
    <row r="57" spans="2:9" ht="15.75">
      <c r="B57" s="1381"/>
      <c r="C57" s="1384"/>
      <c r="D57" s="1389"/>
      <c r="E57" s="249" t="s">
        <v>334</v>
      </c>
      <c r="F57" s="249" t="s">
        <v>220</v>
      </c>
      <c r="G57" s="250">
        <f>G56*365</f>
        <v>0</v>
      </c>
      <c r="H57" s="250">
        <f>H56*365</f>
        <v>0</v>
      </c>
      <c r="I57" s="233"/>
    </row>
    <row r="58" spans="2:9">
      <c r="B58" s="1381"/>
      <c r="C58" s="1384"/>
      <c r="D58" s="1130"/>
      <c r="E58" s="249" t="s">
        <v>42</v>
      </c>
      <c r="F58" s="249" t="s">
        <v>21</v>
      </c>
      <c r="G58" s="250">
        <f>+'物質収支（既存）'!R15</f>
        <v>0</v>
      </c>
      <c r="H58" s="250">
        <f>+'物質収支（既存）'!R66</f>
        <v>0</v>
      </c>
      <c r="I58" s="233"/>
    </row>
    <row r="59" spans="2:9">
      <c r="B59" s="1381"/>
      <c r="C59" s="1384"/>
      <c r="D59" s="1130"/>
      <c r="E59" s="249" t="s">
        <v>92</v>
      </c>
      <c r="F59" s="249" t="s">
        <v>27</v>
      </c>
      <c r="G59" s="250">
        <f>+ROUND('物質収支（既存）'!R16,2)</f>
        <v>0</v>
      </c>
      <c r="H59" s="250">
        <f>+ROUND('物質収支（既存）'!R67,2)</f>
        <v>0</v>
      </c>
      <c r="I59" s="233"/>
    </row>
    <row r="60" spans="2:9" ht="16.5" thickBot="1">
      <c r="B60" s="1381"/>
      <c r="C60" s="1387"/>
      <c r="D60" s="1390"/>
      <c r="E60" s="251" t="s">
        <v>93</v>
      </c>
      <c r="F60" s="251" t="s">
        <v>26</v>
      </c>
      <c r="G60" s="252">
        <f>+ROUND('物質収支（既存）'!R18,2)</f>
        <v>0</v>
      </c>
      <c r="H60" s="252">
        <f>+ROUND('物質収支（既存）'!R69,2)</f>
        <v>0</v>
      </c>
      <c r="I60" s="253"/>
    </row>
    <row r="61" spans="2:9" ht="15.75">
      <c r="B61" s="1381"/>
      <c r="C61" s="1383">
        <f>+⑤基本情報入力!AA29</f>
        <v>0</v>
      </c>
      <c r="D61" s="1388" t="str">
        <f>+⑤基本情報入力!AA30</f>
        <v>生ごみ</v>
      </c>
      <c r="E61" s="246" t="s">
        <v>333</v>
      </c>
      <c r="F61" s="246" t="s">
        <v>2</v>
      </c>
      <c r="G61" s="247">
        <f>ROUND(+'物質収支（既存）'!S8,2)</f>
        <v>0</v>
      </c>
      <c r="H61" s="247">
        <f>ROUND(+'物質収支（既存）'!S59,2)</f>
        <v>0</v>
      </c>
      <c r="I61" s="248"/>
    </row>
    <row r="62" spans="2:9" ht="15.75">
      <c r="B62" s="1381"/>
      <c r="C62" s="1384"/>
      <c r="D62" s="1389"/>
      <c r="E62" s="249" t="s">
        <v>334</v>
      </c>
      <c r="F62" s="249" t="s">
        <v>220</v>
      </c>
      <c r="G62" s="250">
        <f>G61*365</f>
        <v>0</v>
      </c>
      <c r="H62" s="250">
        <f>H61*365</f>
        <v>0</v>
      </c>
      <c r="I62" s="233"/>
    </row>
    <row r="63" spans="2:9">
      <c r="B63" s="1381"/>
      <c r="C63" s="1384"/>
      <c r="D63" s="1130"/>
      <c r="E63" s="249" t="s">
        <v>42</v>
      </c>
      <c r="F63" s="249" t="s">
        <v>21</v>
      </c>
      <c r="G63" s="250">
        <f>+'物質収支（既存）'!S15</f>
        <v>0</v>
      </c>
      <c r="H63" s="250">
        <f>+'物質収支（既存）'!S66</f>
        <v>0</v>
      </c>
      <c r="I63" s="233"/>
    </row>
    <row r="64" spans="2:9">
      <c r="B64" s="1381"/>
      <c r="C64" s="1384"/>
      <c r="D64" s="1130"/>
      <c r="E64" s="249" t="s">
        <v>92</v>
      </c>
      <c r="F64" s="249" t="s">
        <v>27</v>
      </c>
      <c r="G64" s="250">
        <f>ROUND('物質収支（既存）'!S16,2)</f>
        <v>0</v>
      </c>
      <c r="H64" s="250">
        <f>ROUND(+'物質収支（既存）'!S67,2)</f>
        <v>0</v>
      </c>
      <c r="I64" s="233"/>
    </row>
    <row r="65" spans="2:9" ht="16.5" thickBot="1">
      <c r="B65" s="1381"/>
      <c r="C65" s="1387"/>
      <c r="D65" s="1390"/>
      <c r="E65" s="251" t="s">
        <v>93</v>
      </c>
      <c r="F65" s="251" t="s">
        <v>26</v>
      </c>
      <c r="G65" s="252">
        <f>ROUND('物質収支（既存）'!S18,2)</f>
        <v>0</v>
      </c>
      <c r="H65" s="252">
        <f>ROUND(+'物質収支（既存）'!S69,2)</f>
        <v>0</v>
      </c>
      <c r="I65" s="253"/>
    </row>
    <row r="66" spans="2:9" ht="15.75">
      <c r="B66" s="1381"/>
      <c r="C66" s="1383">
        <f>+⑤基本情報入力!AF29</f>
        <v>0</v>
      </c>
      <c r="D66" s="1388">
        <f>+⑤基本情報入力!AF30</f>
        <v>0</v>
      </c>
      <c r="E66" s="246" t="s">
        <v>333</v>
      </c>
      <c r="F66" s="246" t="s">
        <v>2</v>
      </c>
      <c r="G66" s="247">
        <f>ROUND(+'物質収支（既存）'!T8,2)</f>
        <v>0</v>
      </c>
      <c r="H66" s="247">
        <f>ROUND('物質収支（既存）'!T59,2)</f>
        <v>0</v>
      </c>
      <c r="I66" s="248"/>
    </row>
    <row r="67" spans="2:9" ht="15.75">
      <c r="B67" s="1381"/>
      <c r="C67" s="1384"/>
      <c r="D67" s="1389"/>
      <c r="E67" s="249" t="s">
        <v>334</v>
      </c>
      <c r="F67" s="249" t="s">
        <v>220</v>
      </c>
      <c r="G67" s="250">
        <f>G66*365</f>
        <v>0</v>
      </c>
      <c r="H67" s="250">
        <f>H66*365</f>
        <v>0</v>
      </c>
      <c r="I67" s="233"/>
    </row>
    <row r="68" spans="2:9">
      <c r="B68" s="1381"/>
      <c r="C68" s="1384"/>
      <c r="D68" s="1130"/>
      <c r="E68" s="249" t="s">
        <v>42</v>
      </c>
      <c r="F68" s="249" t="s">
        <v>21</v>
      </c>
      <c r="G68" s="250">
        <f>+'物質収支（既存）'!T15</f>
        <v>0</v>
      </c>
      <c r="H68" s="250">
        <f>+'物質収支（既存）'!T66</f>
        <v>0</v>
      </c>
      <c r="I68" s="233"/>
    </row>
    <row r="69" spans="2:9">
      <c r="B69" s="1381"/>
      <c r="C69" s="1384"/>
      <c r="D69" s="1130"/>
      <c r="E69" s="249" t="s">
        <v>92</v>
      </c>
      <c r="F69" s="249" t="s">
        <v>27</v>
      </c>
      <c r="G69" s="250">
        <f>ROUND('物質収支（既存）'!T16,2)</f>
        <v>0</v>
      </c>
      <c r="H69" s="250">
        <f>ROUND(+'物質収支（既存）'!T67,2)</f>
        <v>0</v>
      </c>
      <c r="I69" s="233"/>
    </row>
    <row r="70" spans="2:9" ht="16.5" thickBot="1">
      <c r="B70" s="1381"/>
      <c r="C70" s="1387"/>
      <c r="D70" s="1390"/>
      <c r="E70" s="251" t="s">
        <v>93</v>
      </c>
      <c r="F70" s="251" t="s">
        <v>26</v>
      </c>
      <c r="G70" s="252">
        <f>ROUND('物質収支（既存）'!T18,2)</f>
        <v>0</v>
      </c>
      <c r="H70" s="252">
        <f>ROUND(+'物質収支（既存）'!T69,2)</f>
        <v>0</v>
      </c>
      <c r="I70" s="253"/>
    </row>
    <row r="71" spans="2:9" ht="15.75">
      <c r="B71" s="1381"/>
      <c r="C71" s="1383">
        <f>+⑤基本情報入力!AK29</f>
        <v>0</v>
      </c>
      <c r="D71" s="1388">
        <f>+⑤基本情報入力!AK30</f>
        <v>0</v>
      </c>
      <c r="E71" s="246" t="s">
        <v>333</v>
      </c>
      <c r="F71" s="246" t="s">
        <v>2</v>
      </c>
      <c r="G71" s="247">
        <f>ROUND('物質収支（既存）'!U8,2)</f>
        <v>0</v>
      </c>
      <c r="H71" s="247">
        <f>ROUND('物質収支（既存）'!U59,2)</f>
        <v>0</v>
      </c>
      <c r="I71" s="248"/>
    </row>
    <row r="72" spans="2:9" ht="15.75">
      <c r="B72" s="1381"/>
      <c r="C72" s="1384"/>
      <c r="D72" s="1389"/>
      <c r="E72" s="249" t="s">
        <v>334</v>
      </c>
      <c r="F72" s="249" t="s">
        <v>220</v>
      </c>
      <c r="G72" s="250">
        <f>G71*365</f>
        <v>0</v>
      </c>
      <c r="H72" s="250">
        <f>H71*365</f>
        <v>0</v>
      </c>
      <c r="I72" s="233"/>
    </row>
    <row r="73" spans="2:9">
      <c r="B73" s="1381"/>
      <c r="C73" s="1384"/>
      <c r="D73" s="1130"/>
      <c r="E73" s="249" t="s">
        <v>42</v>
      </c>
      <c r="F73" s="249" t="s">
        <v>21</v>
      </c>
      <c r="G73" s="250">
        <f>+'物質収支（既存）'!U15</f>
        <v>0</v>
      </c>
      <c r="H73" s="250">
        <f>+'物質収支（既存）'!U66</f>
        <v>0</v>
      </c>
      <c r="I73" s="233"/>
    </row>
    <row r="74" spans="2:9">
      <c r="B74" s="1381"/>
      <c r="C74" s="1384"/>
      <c r="D74" s="1130"/>
      <c r="E74" s="249" t="s">
        <v>92</v>
      </c>
      <c r="F74" s="249" t="s">
        <v>27</v>
      </c>
      <c r="G74" s="250">
        <f>ROUND('物質収支（既存）'!U16,2)</f>
        <v>0</v>
      </c>
      <c r="H74" s="250">
        <f>ROUND(+'物質収支（既存）'!U67,2)</f>
        <v>0</v>
      </c>
      <c r="I74" s="233"/>
    </row>
    <row r="75" spans="2:9" ht="16.5" thickBot="1">
      <c r="B75" s="1381"/>
      <c r="C75" s="1387"/>
      <c r="D75" s="1390"/>
      <c r="E75" s="251" t="s">
        <v>93</v>
      </c>
      <c r="F75" s="251" t="s">
        <v>26</v>
      </c>
      <c r="G75" s="252">
        <f>ROUND('物質収支（既存）'!U18,2)</f>
        <v>0</v>
      </c>
      <c r="H75" s="252">
        <f>ROUND(+'物質収支（既存）'!U69,2)</f>
        <v>0</v>
      </c>
      <c r="I75" s="253"/>
    </row>
    <row r="76" spans="2:9" ht="15.75">
      <c r="B76" s="1381"/>
      <c r="C76" s="1383">
        <f>+⑤基本情報入力!AP29</f>
        <v>0</v>
      </c>
      <c r="D76" s="1388">
        <f>+⑤基本情報入力!AP30</f>
        <v>0</v>
      </c>
      <c r="E76" s="246" t="s">
        <v>333</v>
      </c>
      <c r="F76" s="246" t="s">
        <v>2</v>
      </c>
      <c r="G76" s="247">
        <f>ROUND('物質収支（既存）'!V8,2)</f>
        <v>0</v>
      </c>
      <c r="H76" s="247">
        <f>ROUND(+'物質収支（既存）'!V59,2)</f>
        <v>0</v>
      </c>
      <c r="I76" s="248"/>
    </row>
    <row r="77" spans="2:9" ht="15.75">
      <c r="B77" s="1381"/>
      <c r="C77" s="1384"/>
      <c r="D77" s="1389"/>
      <c r="E77" s="249" t="s">
        <v>334</v>
      </c>
      <c r="F77" s="249" t="s">
        <v>220</v>
      </c>
      <c r="G77" s="250">
        <f>G76*365</f>
        <v>0</v>
      </c>
      <c r="H77" s="250">
        <f>H76*365</f>
        <v>0</v>
      </c>
      <c r="I77" s="233"/>
    </row>
    <row r="78" spans="2:9">
      <c r="B78" s="1381"/>
      <c r="C78" s="1384"/>
      <c r="D78" s="1130"/>
      <c r="E78" s="249" t="s">
        <v>42</v>
      </c>
      <c r="F78" s="249" t="s">
        <v>21</v>
      </c>
      <c r="G78" s="250">
        <f>+'物質収支（既存）'!V15</f>
        <v>0</v>
      </c>
      <c r="H78" s="250">
        <f>+'物質収支（既存）'!V66</f>
        <v>0</v>
      </c>
      <c r="I78" s="233"/>
    </row>
    <row r="79" spans="2:9">
      <c r="B79" s="1381"/>
      <c r="C79" s="1384"/>
      <c r="D79" s="1130"/>
      <c r="E79" s="249" t="s">
        <v>92</v>
      </c>
      <c r="F79" s="249" t="s">
        <v>27</v>
      </c>
      <c r="G79" s="250">
        <f>ROUND('物質収支（既存）'!V16,2)</f>
        <v>0</v>
      </c>
      <c r="H79" s="250">
        <f>ROUND(+'物質収支（既存）'!V67,2)</f>
        <v>0</v>
      </c>
      <c r="I79" s="233"/>
    </row>
    <row r="80" spans="2:9" ht="16.5" thickBot="1">
      <c r="B80" s="1381"/>
      <c r="C80" s="1387"/>
      <c r="D80" s="1390"/>
      <c r="E80" s="251" t="s">
        <v>93</v>
      </c>
      <c r="F80" s="251" t="s">
        <v>26</v>
      </c>
      <c r="G80" s="252">
        <f>ROUND('物質収支（既存）'!V18,2)</f>
        <v>0</v>
      </c>
      <c r="H80" s="252">
        <f>ROUND(+'物質収支（既存）'!V69,2)</f>
        <v>0</v>
      </c>
      <c r="I80" s="253"/>
    </row>
    <row r="81" spans="2:9" ht="15.75">
      <c r="B81" s="1381"/>
      <c r="C81" s="1383">
        <f>+⑤基本情報入力!AU29</f>
        <v>0</v>
      </c>
      <c r="D81" s="1388">
        <f>+⑤基本情報入力!AU30</f>
        <v>0</v>
      </c>
      <c r="E81" s="246" t="s">
        <v>333</v>
      </c>
      <c r="F81" s="246" t="s">
        <v>2</v>
      </c>
      <c r="G81" s="247">
        <f>ROUND('物質収支（既存）'!W8,2)</f>
        <v>0</v>
      </c>
      <c r="H81" s="247">
        <f>ROUND(+'物質収支（既存）'!W59,2)</f>
        <v>0</v>
      </c>
      <c r="I81" s="248"/>
    </row>
    <row r="82" spans="2:9" ht="15.75">
      <c r="B82" s="1381"/>
      <c r="C82" s="1384"/>
      <c r="D82" s="1389"/>
      <c r="E82" s="249" t="s">
        <v>334</v>
      </c>
      <c r="F82" s="249" t="s">
        <v>220</v>
      </c>
      <c r="G82" s="250">
        <f>G81*365</f>
        <v>0</v>
      </c>
      <c r="H82" s="250">
        <f>H81*365</f>
        <v>0</v>
      </c>
      <c r="I82" s="233"/>
    </row>
    <row r="83" spans="2:9">
      <c r="B83" s="1381"/>
      <c r="C83" s="1384"/>
      <c r="D83" s="1130"/>
      <c r="E83" s="249" t="s">
        <v>42</v>
      </c>
      <c r="F83" s="249" t="s">
        <v>21</v>
      </c>
      <c r="G83" s="250">
        <f>+'物質収支（既存）'!W15</f>
        <v>0</v>
      </c>
      <c r="H83" s="250">
        <f>+'物質収支（既存）'!W66</f>
        <v>0</v>
      </c>
      <c r="I83" s="233"/>
    </row>
    <row r="84" spans="2:9">
      <c r="B84" s="1381"/>
      <c r="C84" s="1384"/>
      <c r="D84" s="1130"/>
      <c r="E84" s="249" t="s">
        <v>92</v>
      </c>
      <c r="F84" s="249" t="s">
        <v>27</v>
      </c>
      <c r="G84" s="250">
        <f>ROUND('物質収支（既存）'!W16,2)</f>
        <v>0</v>
      </c>
      <c r="H84" s="250">
        <f>ROUND(+'物質収支（既存）'!W67,2)</f>
        <v>0</v>
      </c>
      <c r="I84" s="233"/>
    </row>
    <row r="85" spans="2:9" ht="16.5" thickBot="1">
      <c r="B85" s="1381"/>
      <c r="C85" s="1387"/>
      <c r="D85" s="1390"/>
      <c r="E85" s="251" t="s">
        <v>93</v>
      </c>
      <c r="F85" s="251" t="s">
        <v>26</v>
      </c>
      <c r="G85" s="252">
        <f>ROUND('物質収支（既存）'!W18,2)</f>
        <v>0</v>
      </c>
      <c r="H85" s="252">
        <f>ROUND(+'物質収支（既存）'!W69,2)</f>
        <v>0</v>
      </c>
      <c r="I85" s="253"/>
    </row>
    <row r="86" spans="2:9" ht="15.75">
      <c r="B86" s="1381"/>
      <c r="C86" s="1391" t="s">
        <v>157</v>
      </c>
      <c r="D86" s="1392"/>
      <c r="E86" s="246" t="s">
        <v>333</v>
      </c>
      <c r="F86" s="246" t="s">
        <v>2</v>
      </c>
      <c r="G86" s="247">
        <f>ROUND('物質収支（既存）'!X10,2)</f>
        <v>0</v>
      </c>
      <c r="H86" s="247">
        <f>ROUND('物質収支（既存）'!X61,2)</f>
        <v>0</v>
      </c>
      <c r="I86" s="248"/>
    </row>
    <row r="87" spans="2:9" ht="15.75">
      <c r="B87" s="1381"/>
      <c r="C87" s="1393"/>
      <c r="D87" s="1394"/>
      <c r="E87" s="249" t="s">
        <v>334</v>
      </c>
      <c r="F87" s="249" t="s">
        <v>220</v>
      </c>
      <c r="G87" s="250">
        <f>G86*365</f>
        <v>0</v>
      </c>
      <c r="H87" s="250">
        <f>H86*365</f>
        <v>0</v>
      </c>
      <c r="I87" s="233"/>
    </row>
    <row r="88" spans="2:9">
      <c r="B88" s="1381"/>
      <c r="C88" s="1393"/>
      <c r="D88" s="1394"/>
      <c r="E88" s="249" t="s">
        <v>42</v>
      </c>
      <c r="F88" s="249" t="s">
        <v>21</v>
      </c>
      <c r="G88" s="250">
        <f>ROUND('物質収支（既存）'!X15,2)</f>
        <v>0</v>
      </c>
      <c r="H88" s="250">
        <f>ROUND('物質収支（既存）'!X66,2)</f>
        <v>0</v>
      </c>
      <c r="I88" s="233"/>
    </row>
    <row r="89" spans="2:9">
      <c r="B89" s="1381"/>
      <c r="C89" s="1393"/>
      <c r="D89" s="1394"/>
      <c r="E89" s="249" t="s">
        <v>92</v>
      </c>
      <c r="F89" s="249" t="s">
        <v>27</v>
      </c>
      <c r="G89" s="250" t="e">
        <f>ROUND('物質収支（既存）'!X16,2)</f>
        <v>#DIV/0!</v>
      </c>
      <c r="H89" s="250" t="e">
        <f>ROUND('物質収支（既存）'!X67,2)</f>
        <v>#DIV/0!</v>
      </c>
      <c r="I89" s="233"/>
    </row>
    <row r="90" spans="2:9" ht="16.5" thickBot="1">
      <c r="B90" s="1382"/>
      <c r="C90" s="1395"/>
      <c r="D90" s="1396"/>
      <c r="E90" s="251" t="s">
        <v>45</v>
      </c>
      <c r="F90" s="251" t="s">
        <v>2</v>
      </c>
      <c r="G90" s="252">
        <f>ROUND(+G86*G88,2)</f>
        <v>0</v>
      </c>
      <c r="H90" s="252">
        <f>ROUND(+H86*H88,2)</f>
        <v>0</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ageMargins left="0.7" right="0.7" top="0.75" bottom="0.75" header="0.3" footer="0.3"/>
  <pageSetup paperSize="9" scale="70" fitToHeight="0" orientation="portrait" r:id="rId1"/>
  <rowBreaks count="1" manualBreakCount="1">
    <brk id="45"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N35"/>
  <sheetViews>
    <sheetView showGridLines="0" workbookViewId="0"/>
  </sheetViews>
  <sheetFormatPr defaultRowHeight="13.5"/>
  <cols>
    <col min="1" max="1" width="3.625" customWidth="1"/>
    <col min="2" max="2" width="17.2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454</v>
      </c>
      <c r="C2" t="s">
        <v>573</v>
      </c>
    </row>
    <row r="3" spans="2:14" ht="15.75" customHeight="1">
      <c r="B3" s="1399" t="s">
        <v>23</v>
      </c>
      <c r="C3" s="1400"/>
      <c r="D3" s="1400"/>
      <c r="E3" s="1400"/>
      <c r="F3" s="468" t="s">
        <v>24</v>
      </c>
      <c r="G3" s="231" t="s">
        <v>37</v>
      </c>
      <c r="H3" s="232" t="s">
        <v>25</v>
      </c>
      <c r="J3" s="234" t="s">
        <v>448</v>
      </c>
      <c r="K3" s="235"/>
      <c r="L3" s="235"/>
      <c r="M3" s="235"/>
      <c r="N3" s="236"/>
    </row>
    <row r="4" spans="2:14" ht="15" customHeight="1">
      <c r="B4" s="1401" t="s">
        <v>177</v>
      </c>
      <c r="C4" s="1403" t="s">
        <v>173</v>
      </c>
      <c r="D4" s="469" t="str">
        <f>⑤基本情報入力!L13</f>
        <v>濃縮汚泥</v>
      </c>
      <c r="E4" s="1404" t="s">
        <v>174</v>
      </c>
      <c r="F4" s="1405" t="s">
        <v>1</v>
      </c>
      <c r="G4" s="55">
        <f>+ROUNDUP('物質収支（既存）'!I59,0)*H4</f>
        <v>0</v>
      </c>
      <c r="H4" s="445">
        <v>2</v>
      </c>
      <c r="J4" s="237" t="s">
        <v>449</v>
      </c>
      <c r="K4" s="238"/>
      <c r="L4" s="238"/>
      <c r="M4" s="238"/>
      <c r="N4" s="239"/>
    </row>
    <row r="5" spans="2:14">
      <c r="B5" s="1401"/>
      <c r="C5" s="1403"/>
      <c r="D5" s="469" t="str">
        <f>'物質収支（既存）'!P57&amp;"・"&amp;'物質収支（既存）'!Q57</f>
        <v>し尿・浄化槽汚泥</v>
      </c>
      <c r="E5" s="1404"/>
      <c r="F5" s="1405"/>
      <c r="G5" s="55">
        <f>ROUNDUP(('物質収支（既存）'!P59+'物質収支（既存）'!Q59)*H5,0)</f>
        <v>0</v>
      </c>
      <c r="H5" s="445">
        <v>1</v>
      </c>
      <c r="J5" s="240" t="s">
        <v>181</v>
      </c>
      <c r="K5" s="238" t="s">
        <v>580</v>
      </c>
      <c r="L5" s="238"/>
      <c r="M5" s="238"/>
      <c r="N5" s="239"/>
    </row>
    <row r="6" spans="2:14">
      <c r="B6" s="1401"/>
      <c r="C6" s="1403"/>
      <c r="D6" s="469" t="str">
        <f>'物質収支（既存）'!R57</f>
        <v>集落排水汚泥</v>
      </c>
      <c r="E6" s="1404"/>
      <c r="F6" s="1405"/>
      <c r="G6" s="55">
        <f>+ROUNDUP('物質収支（既存）'!R59,0)*H6</f>
        <v>0</v>
      </c>
      <c r="H6" s="445">
        <v>2</v>
      </c>
      <c r="J6" s="241" t="s">
        <v>581</v>
      </c>
      <c r="K6" s="238" t="s">
        <v>198</v>
      </c>
      <c r="L6" s="238"/>
      <c r="M6" s="238"/>
      <c r="N6" s="239"/>
    </row>
    <row r="7" spans="2:14" ht="13.5" customHeight="1">
      <c r="B7" s="1401"/>
      <c r="C7" s="1403"/>
      <c r="D7" s="469" t="str">
        <f>+'物質収支（既存）'!S57</f>
        <v>生ごみ</v>
      </c>
      <c r="E7" s="1404"/>
      <c r="F7" s="1405"/>
      <c r="G7" s="55">
        <f>+ROUNDUP('物質収支（既存）'!S59,0)*H7</f>
        <v>0</v>
      </c>
      <c r="H7" s="445">
        <v>2</v>
      </c>
      <c r="J7" s="241"/>
      <c r="K7" s="1397" t="s">
        <v>582</v>
      </c>
      <c r="L7" s="1397"/>
      <c r="M7" s="1397"/>
      <c r="N7" s="1398"/>
    </row>
    <row r="8" spans="2:14">
      <c r="B8" s="1401"/>
      <c r="C8" s="1403"/>
      <c r="D8" s="469">
        <f>+'物質収支（既存）'!T57</f>
        <v>0</v>
      </c>
      <c r="E8" s="1404"/>
      <c r="F8" s="1405"/>
      <c r="G8" s="55">
        <f>+ROUNDUP('物質収支（既存）'!T59,0)*H8</f>
        <v>0</v>
      </c>
      <c r="H8" s="445">
        <v>2</v>
      </c>
      <c r="J8" s="241"/>
      <c r="K8" s="1397"/>
      <c r="L8" s="1397"/>
      <c r="M8" s="1397"/>
      <c r="N8" s="1398"/>
    </row>
    <row r="9" spans="2:14">
      <c r="B9" s="1401"/>
      <c r="C9" s="1403"/>
      <c r="D9" s="469">
        <f>+'物質収支（既存）'!U57</f>
        <v>0</v>
      </c>
      <c r="E9" s="1404"/>
      <c r="F9" s="1405"/>
      <c r="G9" s="55">
        <f>+ROUNDUP('物質収支（既存）'!U59,0)*H9</f>
        <v>0</v>
      </c>
      <c r="H9" s="445">
        <v>2</v>
      </c>
      <c r="J9" s="241"/>
      <c r="K9" s="1397"/>
      <c r="L9" s="1397"/>
      <c r="M9" s="1397"/>
      <c r="N9" s="1398"/>
    </row>
    <row r="10" spans="2:14">
      <c r="B10" s="1401"/>
      <c r="C10" s="1403"/>
      <c r="D10" s="469">
        <f>+'物質収支（既存）'!V57</f>
        <v>0</v>
      </c>
      <c r="E10" s="1404"/>
      <c r="F10" s="1405"/>
      <c r="G10" s="55">
        <f>+ROUNDUP('物質収支（既存）'!V59,0)*H10</f>
        <v>0</v>
      </c>
      <c r="H10" s="445">
        <v>2</v>
      </c>
      <c r="J10" s="241"/>
      <c r="K10" s="1397"/>
      <c r="L10" s="1397"/>
      <c r="M10" s="1397"/>
      <c r="N10" s="1398"/>
    </row>
    <row r="11" spans="2:14" ht="15.75">
      <c r="B11" s="1401"/>
      <c r="C11" s="1403" t="s">
        <v>175</v>
      </c>
      <c r="D11" s="1403"/>
      <c r="E11" s="470" t="s">
        <v>176</v>
      </c>
      <c r="F11" s="471" t="s">
        <v>1</v>
      </c>
      <c r="G11" s="55">
        <f>ROUNDUP('計算条件（既存）'!G86,-1)</f>
        <v>0</v>
      </c>
      <c r="H11" s="446"/>
      <c r="J11" s="241"/>
      <c r="K11" s="238"/>
      <c r="L11" s="238"/>
      <c r="M11" s="238"/>
      <c r="N11" s="239"/>
    </row>
    <row r="12" spans="2:14" ht="15.75">
      <c r="B12" s="1401"/>
      <c r="C12" s="1406" t="s">
        <v>178</v>
      </c>
      <c r="D12" s="1403" t="s">
        <v>32</v>
      </c>
      <c r="E12" s="470" t="s">
        <v>28</v>
      </c>
      <c r="F12" s="323" t="s">
        <v>492</v>
      </c>
      <c r="G12" s="324" t="e">
        <f>+'物質収支（既存）'!X13/ROUNDUP('計算条件（既存）'!G86*25,-1)*1000</f>
        <v>#DIV/0!</v>
      </c>
      <c r="H12" s="447" t="s">
        <v>493</v>
      </c>
      <c r="J12" s="241"/>
      <c r="K12" s="238"/>
      <c r="L12" s="238"/>
      <c r="M12" s="238"/>
      <c r="N12" s="239"/>
    </row>
    <row r="13" spans="2:14" ht="15.75">
      <c r="B13" s="1401"/>
      <c r="C13" s="1406"/>
      <c r="D13" s="1403"/>
      <c r="E13" s="470" t="s">
        <v>34</v>
      </c>
      <c r="F13" s="471"/>
      <c r="G13" s="327" t="e">
        <f>+IF(G12&lt;=3.5,"O.K","能力不足")</f>
        <v>#DIV/0!</v>
      </c>
      <c r="H13" s="447"/>
      <c r="J13" s="237" t="s">
        <v>450</v>
      </c>
      <c r="K13" s="238"/>
      <c r="L13" s="238"/>
      <c r="M13" s="238"/>
      <c r="N13" s="239"/>
    </row>
    <row r="14" spans="2:14" ht="15.75">
      <c r="B14" s="1401"/>
      <c r="C14" s="1406"/>
      <c r="D14" s="1403"/>
      <c r="E14" s="470" t="s">
        <v>179</v>
      </c>
      <c r="F14" s="471" t="s">
        <v>1</v>
      </c>
      <c r="G14" s="328" t="e">
        <f>+IF(G13="O.K",ROUNDUP('計算条件（既存）'!G86*25,-1),'物質収支（既存）'!X13*1000/3.5)</f>
        <v>#DIV/0!</v>
      </c>
      <c r="H14" s="447" t="s">
        <v>200</v>
      </c>
      <c r="J14" s="241"/>
      <c r="K14" s="238"/>
      <c r="L14" s="238"/>
      <c r="M14" s="238"/>
      <c r="N14" s="239"/>
    </row>
    <row r="15" spans="2:14" ht="15.75">
      <c r="B15" s="1401"/>
      <c r="C15" s="1406"/>
      <c r="D15" s="1406" t="s">
        <v>31</v>
      </c>
      <c r="E15" s="470" t="s">
        <v>33</v>
      </c>
      <c r="F15" s="471" t="s">
        <v>36</v>
      </c>
      <c r="G15" s="324" t="e">
        <f>ROUND(G14/'物質収支（既存）'!X10,2)</f>
        <v>#DIV/0!</v>
      </c>
      <c r="H15" s="447" t="s">
        <v>99</v>
      </c>
      <c r="J15" s="237" t="s">
        <v>453</v>
      </c>
      <c r="K15" s="238"/>
      <c r="L15" s="238"/>
      <c r="M15" s="238"/>
      <c r="N15" s="239"/>
    </row>
    <row r="16" spans="2:14">
      <c r="B16" s="1401"/>
      <c r="C16" s="1406"/>
      <c r="D16" s="1406"/>
      <c r="E16" s="470" t="s">
        <v>34</v>
      </c>
      <c r="F16" s="471"/>
      <c r="G16" s="327" t="e">
        <f>+IF(G15&lt;H16,"能力不足","O.K")</f>
        <v>#DIV/0!</v>
      </c>
      <c r="H16" s="448">
        <v>25</v>
      </c>
      <c r="J16" s="240" t="s">
        <v>182</v>
      </c>
      <c r="K16" s="238" t="s">
        <v>183</v>
      </c>
      <c r="L16" s="238"/>
      <c r="M16" s="238"/>
      <c r="N16" s="239"/>
    </row>
    <row r="17" spans="2:14" ht="15.75">
      <c r="B17" s="1401"/>
      <c r="C17" s="1404" t="s">
        <v>167</v>
      </c>
      <c r="D17" s="1404"/>
      <c r="E17" s="470" t="s">
        <v>171</v>
      </c>
      <c r="F17" s="471" t="s">
        <v>1</v>
      </c>
      <c r="G17" s="56">
        <f>+ROUNDUP('物質収支（既存）'!X33/2,-1)</f>
        <v>0</v>
      </c>
      <c r="H17" s="447"/>
      <c r="J17" s="241"/>
      <c r="K17" s="238" t="s">
        <v>184</v>
      </c>
      <c r="L17" s="238"/>
      <c r="M17" s="238"/>
      <c r="N17" s="239"/>
    </row>
    <row r="18" spans="2:14" ht="15.75">
      <c r="B18" s="1401"/>
      <c r="C18" s="1404" t="s">
        <v>155</v>
      </c>
      <c r="D18" s="1404"/>
      <c r="E18" s="470" t="s">
        <v>172</v>
      </c>
      <c r="F18" s="471" t="s">
        <v>189</v>
      </c>
      <c r="G18" s="57">
        <f>ROUNDUP('物質収支（既存）'!X33/24,0)</f>
        <v>0</v>
      </c>
      <c r="H18" s="447"/>
      <c r="J18" s="241"/>
      <c r="K18" s="238" t="s">
        <v>185</v>
      </c>
      <c r="L18" s="238"/>
      <c r="M18" s="238"/>
      <c r="N18" s="239"/>
    </row>
    <row r="19" spans="2:14" ht="15.75">
      <c r="B19" s="1401"/>
      <c r="C19" s="1406" t="s">
        <v>30</v>
      </c>
      <c r="D19" s="1403" t="s">
        <v>187</v>
      </c>
      <c r="E19" s="470" t="s">
        <v>186</v>
      </c>
      <c r="F19" s="471" t="s">
        <v>190</v>
      </c>
      <c r="G19" s="324">
        <f>+⑤基本情報入力!AD86</f>
        <v>0</v>
      </c>
      <c r="H19" s="448"/>
      <c r="J19" s="241"/>
      <c r="K19" s="238"/>
      <c r="L19" s="238"/>
      <c r="M19" s="238"/>
      <c r="N19" s="239"/>
    </row>
    <row r="20" spans="2:14" ht="15.75">
      <c r="B20" s="1401"/>
      <c r="C20" s="1406"/>
      <c r="D20" s="1403"/>
      <c r="E20" s="470" t="s">
        <v>34</v>
      </c>
      <c r="F20" s="471" t="s">
        <v>464</v>
      </c>
      <c r="G20" s="327" t="str">
        <f>+IF('物質収支（既存）'!X32&lt;G19,"O.K","能力不足")</f>
        <v>能力不足</v>
      </c>
      <c r="H20" s="449"/>
      <c r="J20" s="237" t="s">
        <v>451</v>
      </c>
      <c r="K20" s="238"/>
      <c r="L20" s="238"/>
      <c r="M20" s="238"/>
      <c r="N20" s="239"/>
    </row>
    <row r="21" spans="2:14" ht="15.75">
      <c r="B21" s="1401"/>
      <c r="C21" s="1406"/>
      <c r="D21" s="1403"/>
      <c r="E21" s="470" t="s">
        <v>188</v>
      </c>
      <c r="F21" s="471" t="s">
        <v>191</v>
      </c>
      <c r="G21" s="327">
        <f>IF(G20="O.K",0,ROUNDUP('物質収支（既存）'!X32-'施設規模の設定（既存）'!G19,1))</f>
        <v>0</v>
      </c>
      <c r="H21" s="449"/>
      <c r="J21" s="237" t="s">
        <v>452</v>
      </c>
      <c r="K21" s="238"/>
      <c r="L21" s="238"/>
      <c r="M21" s="238"/>
      <c r="N21" s="239"/>
    </row>
    <row r="22" spans="2:14">
      <c r="B22" s="1401"/>
      <c r="C22" s="1404" t="s">
        <v>156</v>
      </c>
      <c r="D22" s="1404"/>
      <c r="E22" s="469" t="s">
        <v>172</v>
      </c>
      <c r="F22" s="471" t="s">
        <v>0</v>
      </c>
      <c r="G22" s="324">
        <f>'物質収支（既存）'!X41</f>
        <v>0</v>
      </c>
      <c r="H22" s="450"/>
      <c r="J22" s="241"/>
      <c r="K22" s="238"/>
      <c r="L22" s="238"/>
      <c r="M22" s="238"/>
      <c r="N22" s="239"/>
    </row>
    <row r="23" spans="2:14" ht="16.5" thickBot="1">
      <c r="B23" s="1402"/>
      <c r="C23" s="472" t="s">
        <v>522</v>
      </c>
      <c r="D23" s="472" t="s">
        <v>531</v>
      </c>
      <c r="E23" s="472" t="s">
        <v>172</v>
      </c>
      <c r="F23" s="472" t="s">
        <v>527</v>
      </c>
      <c r="G23" s="456">
        <f>'計算条件（既存）'!G7+'計算条件（既存）'!G13+'計算条件（既存）'!G19+'計算条件（既存）'!G25+'計算条件（既存）'!G31+'計算条件（既存）'!G37+'計算条件（既存）'!G43+('計算条件（既存）'!G56*'計算条件（既存）'!G58)</f>
        <v>0</v>
      </c>
      <c r="H23" s="457" t="s">
        <v>526</v>
      </c>
      <c r="J23" s="242"/>
      <c r="K23" s="243"/>
      <c r="L23" s="243"/>
      <c r="M23" s="243"/>
      <c r="N23" s="244"/>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5">
    <mergeCell ref="K7:N10"/>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ageMargins left="0.25" right="0.25"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S295"/>
  <sheetViews>
    <sheetView showGridLines="0" workbookViewId="0"/>
  </sheetViews>
  <sheetFormatPr defaultRowHeight="13.5"/>
  <cols>
    <col min="1" max="1" width="9" style="148"/>
    <col min="2" max="2" width="9" style="58"/>
    <col min="3" max="3" width="23" style="58" customWidth="1"/>
    <col min="4" max="4" width="13" style="58" bestFit="1"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16384" width="9" style="58"/>
  </cols>
  <sheetData>
    <row r="1" spans="1:18">
      <c r="J1" s="75"/>
      <c r="K1" s="75"/>
      <c r="L1" s="75"/>
      <c r="M1" s="75"/>
    </row>
    <row r="2" spans="1:18">
      <c r="B2" t="s">
        <v>229</v>
      </c>
      <c r="C2" s="58" t="s">
        <v>573</v>
      </c>
      <c r="D2" s="76"/>
      <c r="J2" s="73"/>
      <c r="K2" s="147"/>
      <c r="L2" s="73"/>
      <c r="M2" s="73"/>
    </row>
    <row r="3" spans="1:18">
      <c r="A3" s="148" t="str">
        <f>+⑤基本情報入力!E51</f>
        <v>①</v>
      </c>
      <c r="B3" s="1232">
        <f>+⑤基本情報入力!E52</f>
        <v>0</v>
      </c>
      <c r="C3" s="1232"/>
    </row>
    <row r="4" spans="1:18">
      <c r="B4" s="354" t="s">
        <v>230</v>
      </c>
      <c r="C4" s="337" t="s">
        <v>231</v>
      </c>
      <c r="D4" s="337" t="s">
        <v>232</v>
      </c>
      <c r="E4" s="337" t="s">
        <v>233</v>
      </c>
      <c r="F4" s="337" t="s">
        <v>234</v>
      </c>
      <c r="G4" s="1415" t="s">
        <v>235</v>
      </c>
      <c r="H4" s="1415"/>
      <c r="I4" s="1415" t="s">
        <v>236</v>
      </c>
      <c r="J4" s="1415"/>
      <c r="K4" s="1415" t="s">
        <v>237</v>
      </c>
      <c r="L4" s="1415"/>
      <c r="M4" s="1416" t="s">
        <v>291</v>
      </c>
      <c r="N4" s="1416"/>
      <c r="O4" s="77" t="s">
        <v>238</v>
      </c>
      <c r="P4" s="77" t="s">
        <v>239</v>
      </c>
      <c r="Q4" s="77" t="s">
        <v>240</v>
      </c>
      <c r="R4" s="337" t="s">
        <v>97</v>
      </c>
    </row>
    <row r="5" spans="1:18" ht="15.75">
      <c r="B5" s="1417"/>
      <c r="C5" s="1419" t="s">
        <v>241</v>
      </c>
      <c r="D5" s="1221" t="s">
        <v>242</v>
      </c>
      <c r="E5" s="357">
        <f>+⑤基本情報入力!E53</f>
        <v>0</v>
      </c>
      <c r="F5" s="78" t="s">
        <v>3</v>
      </c>
      <c r="G5" s="79" t="s">
        <v>11</v>
      </c>
      <c r="H5" s="79" t="s">
        <v>653</v>
      </c>
      <c r="I5" s="80">
        <f t="shared" ref="I5:I21" si="0">K5*(1-O5)*(P5+P5/((P5+1)^Q5-1))</f>
        <v>0</v>
      </c>
      <c r="J5" s="72" t="s">
        <v>124</v>
      </c>
      <c r="K5" s="70">
        <f>1.31*M5^0.611*E5</f>
        <v>0</v>
      </c>
      <c r="L5" s="79" t="s">
        <v>120</v>
      </c>
      <c r="M5" s="222">
        <f>IFERROR('計算条件（既存）'!H7/E5,0)</f>
        <v>0</v>
      </c>
      <c r="N5" s="1221" t="s">
        <v>243</v>
      </c>
      <c r="O5" s="81">
        <f>+⑤基本情報入力!$Y$61</f>
        <v>0.1</v>
      </c>
      <c r="P5" s="82">
        <f>+⑤基本情報入力!$AB$61</f>
        <v>2.3E-2</v>
      </c>
      <c r="Q5" s="83">
        <f>+⑤基本情報入力!$AE$61</f>
        <v>20</v>
      </c>
      <c r="R5" s="72" t="s">
        <v>244</v>
      </c>
    </row>
    <row r="6" spans="1:18" ht="15.75">
      <c r="B6" s="1417"/>
      <c r="C6" s="1419"/>
      <c r="D6" s="1221"/>
      <c r="E6" s="359">
        <v>0</v>
      </c>
      <c r="F6" s="78" t="s">
        <v>8</v>
      </c>
      <c r="G6" s="79" t="s">
        <v>11</v>
      </c>
      <c r="H6" s="79" t="s">
        <v>654</v>
      </c>
      <c r="I6" s="80">
        <f t="shared" si="0"/>
        <v>0</v>
      </c>
      <c r="J6" s="72" t="s">
        <v>124</v>
      </c>
      <c r="K6" s="70">
        <f>1.24*M6^0.598*E6</f>
        <v>0</v>
      </c>
      <c r="L6" s="79" t="s">
        <v>120</v>
      </c>
      <c r="M6" s="222">
        <f>+M5</f>
        <v>0</v>
      </c>
      <c r="N6" s="1221"/>
      <c r="O6" s="81">
        <f>+⑤基本情報入力!$Y$63</f>
        <v>0.1</v>
      </c>
      <c r="P6" s="84">
        <f>+⑤基本情報入力!$AB$63</f>
        <v>2.3E-2</v>
      </c>
      <c r="Q6" s="83">
        <f>+⑤基本情報入力!$AE$63</f>
        <v>40</v>
      </c>
      <c r="R6" s="72" t="s">
        <v>244</v>
      </c>
    </row>
    <row r="7" spans="1:18" ht="15.75">
      <c r="B7" s="1417"/>
      <c r="C7" s="1419" t="s">
        <v>22</v>
      </c>
      <c r="D7" s="1221"/>
      <c r="E7" s="357">
        <f>+⑤基本情報入力!E54</f>
        <v>0</v>
      </c>
      <c r="F7" s="78" t="s">
        <v>3</v>
      </c>
      <c r="G7" s="79" t="s">
        <v>11</v>
      </c>
      <c r="H7" s="79" t="s">
        <v>655</v>
      </c>
      <c r="I7" s="80">
        <f t="shared" si="0"/>
        <v>0</v>
      </c>
      <c r="J7" s="72" t="s">
        <v>124</v>
      </c>
      <c r="K7" s="70">
        <f>22.7*M7^0.444*E7</f>
        <v>0</v>
      </c>
      <c r="L7" s="79" t="s">
        <v>120</v>
      </c>
      <c r="M7" s="222">
        <f>IFERROR('計算条件（既存）'!H7/E7,0)</f>
        <v>0</v>
      </c>
      <c r="N7" s="1221" t="s">
        <v>243</v>
      </c>
      <c r="O7" s="81">
        <f>+⑤基本情報入力!$Y$61</f>
        <v>0.1</v>
      </c>
      <c r="P7" s="82">
        <f>+⑤基本情報入力!$AB$61</f>
        <v>2.3E-2</v>
      </c>
      <c r="Q7" s="83">
        <f>+⑤基本情報入力!$AE$61</f>
        <v>20</v>
      </c>
      <c r="R7" s="72" t="s">
        <v>244</v>
      </c>
    </row>
    <row r="8" spans="1:18" ht="15.75">
      <c r="B8" s="1417"/>
      <c r="C8" s="1419"/>
      <c r="D8" s="1221"/>
      <c r="E8" s="359">
        <v>0</v>
      </c>
      <c r="F8" s="78" t="s">
        <v>8</v>
      </c>
      <c r="G8" s="79" t="s">
        <v>11</v>
      </c>
      <c r="H8" s="79" t="s">
        <v>656</v>
      </c>
      <c r="I8" s="80">
        <f t="shared" si="0"/>
        <v>0</v>
      </c>
      <c r="J8" s="72" t="s">
        <v>124</v>
      </c>
      <c r="K8" s="70">
        <f>43.4*M8^0.373*E8</f>
        <v>0</v>
      </c>
      <c r="L8" s="79" t="s">
        <v>120</v>
      </c>
      <c r="M8" s="222">
        <f>+M7</f>
        <v>0</v>
      </c>
      <c r="N8" s="1221"/>
      <c r="O8" s="81">
        <f>+⑤基本情報入力!$Y$63</f>
        <v>0.1</v>
      </c>
      <c r="P8" s="84">
        <f>+⑤基本情報入力!$AB$63</f>
        <v>2.3E-2</v>
      </c>
      <c r="Q8" s="83">
        <f>+⑤基本情報入力!$AE$63</f>
        <v>40</v>
      </c>
      <c r="R8" s="72" t="s">
        <v>244</v>
      </c>
    </row>
    <row r="9" spans="1:18" ht="15.75">
      <c r="B9" s="1417"/>
      <c r="C9" s="338" t="s">
        <v>246</v>
      </c>
      <c r="D9" s="72"/>
      <c r="E9" s="357">
        <f>IF(E5=0,0,E5/E5)</f>
        <v>0</v>
      </c>
      <c r="F9" s="338" t="s">
        <v>4</v>
      </c>
      <c r="G9" s="79" t="s">
        <v>11</v>
      </c>
      <c r="H9" s="72" t="s">
        <v>657</v>
      </c>
      <c r="I9" s="80">
        <f t="shared" si="0"/>
        <v>0</v>
      </c>
      <c r="J9" s="72" t="s">
        <v>124</v>
      </c>
      <c r="K9" s="69">
        <f>17.8*M9^0.464*E9</f>
        <v>0</v>
      </c>
      <c r="L9" s="72" t="s">
        <v>120</v>
      </c>
      <c r="M9" s="222">
        <f>IFERROR('計算条件（既存）'!H7/E9,0)</f>
        <v>0</v>
      </c>
      <c r="N9" s="339" t="s">
        <v>243</v>
      </c>
      <c r="O9" s="81">
        <f>+⑤基本情報入力!$Y$62</f>
        <v>0.1</v>
      </c>
      <c r="P9" s="84">
        <f>+⑤基本情報入力!$AB$62</f>
        <v>2.3E-2</v>
      </c>
      <c r="Q9" s="83">
        <f>+⑤基本情報入力!$AE$62</f>
        <v>15</v>
      </c>
      <c r="R9" s="72" t="s">
        <v>247</v>
      </c>
    </row>
    <row r="10" spans="1:18" ht="15.75">
      <c r="B10" s="1417"/>
      <c r="C10" s="1407" t="s">
        <v>18</v>
      </c>
      <c r="D10" s="1408" t="s">
        <v>249</v>
      </c>
      <c r="E10" s="357">
        <f>+⑤基本情報入力!E55</f>
        <v>0</v>
      </c>
      <c r="F10" s="338" t="s">
        <v>3</v>
      </c>
      <c r="G10" s="79" t="s">
        <v>11</v>
      </c>
      <c r="H10" s="72" t="s">
        <v>134</v>
      </c>
      <c r="I10" s="80">
        <f t="shared" si="0"/>
        <v>0</v>
      </c>
      <c r="J10" s="72" t="s">
        <v>124</v>
      </c>
      <c r="K10" s="69">
        <f>124*(M10/500)^0.6*E10</f>
        <v>0</v>
      </c>
      <c r="L10" s="72" t="s">
        <v>120</v>
      </c>
      <c r="M10" s="146">
        <f>IFERROR(ROUNDUP('物質収支（既存）'!I10*25,-1)/E10,0)</f>
        <v>0</v>
      </c>
      <c r="N10" s="339" t="s">
        <v>1</v>
      </c>
      <c r="O10" s="81">
        <f>+⑤基本情報入力!$Y$61</f>
        <v>0.1</v>
      </c>
      <c r="P10" s="82">
        <f>+⑤基本情報入力!$AB$61</f>
        <v>2.3E-2</v>
      </c>
      <c r="Q10" s="83">
        <f>+⑤基本情報入力!$AE$61</f>
        <v>20</v>
      </c>
      <c r="R10" s="72" t="s">
        <v>561</v>
      </c>
    </row>
    <row r="11" spans="1:18" ht="15.75">
      <c r="B11" s="1417"/>
      <c r="C11" s="1407"/>
      <c r="D11" s="1408"/>
      <c r="E11" s="359">
        <f>+⑤基本情報入力!E55</f>
        <v>0</v>
      </c>
      <c r="F11" s="338" t="s">
        <v>8</v>
      </c>
      <c r="G11" s="79" t="s">
        <v>11</v>
      </c>
      <c r="H11" s="72" t="s">
        <v>135</v>
      </c>
      <c r="I11" s="80">
        <f t="shared" si="0"/>
        <v>0</v>
      </c>
      <c r="J11" s="72" t="s">
        <v>124</v>
      </c>
      <c r="K11" s="69">
        <f>44.1*(M11/500)^0.6*E11</f>
        <v>0</v>
      </c>
      <c r="L11" s="72" t="s">
        <v>120</v>
      </c>
      <c r="M11" s="146">
        <f>+M10</f>
        <v>0</v>
      </c>
      <c r="N11" s="339" t="s">
        <v>1</v>
      </c>
      <c r="O11" s="81">
        <f>+⑤基本情報入力!$Y$63</f>
        <v>0.1</v>
      </c>
      <c r="P11" s="84">
        <f>+⑤基本情報入力!$AB$63</f>
        <v>2.3E-2</v>
      </c>
      <c r="Q11" s="83">
        <f>+⑤基本情報入力!$AE$63</f>
        <v>40</v>
      </c>
      <c r="R11" s="86"/>
    </row>
    <row r="12" spans="1:18" ht="15.75">
      <c r="B12" s="1417"/>
      <c r="C12" s="338" t="s">
        <v>9</v>
      </c>
      <c r="D12" s="72"/>
      <c r="E12" s="357">
        <f>+⑤基本情報入力!E55</f>
        <v>0</v>
      </c>
      <c r="F12" s="338" t="s">
        <v>3</v>
      </c>
      <c r="G12" s="79" t="s">
        <v>11</v>
      </c>
      <c r="H12" s="72" t="s">
        <v>660</v>
      </c>
      <c r="I12" s="80">
        <f t="shared" si="0"/>
        <v>0</v>
      </c>
      <c r="J12" s="72" t="s">
        <v>124</v>
      </c>
      <c r="K12" s="69">
        <f>10.4*M12^0.437*E12</f>
        <v>0</v>
      </c>
      <c r="L12" s="72" t="s">
        <v>120</v>
      </c>
      <c r="M12" s="146">
        <f>IFERROR(ROUNDUP('物質収支（既存）'!I84/2,-1)/E12,0)</f>
        <v>0</v>
      </c>
      <c r="N12" s="339" t="s">
        <v>1</v>
      </c>
      <c r="O12" s="81">
        <f>+⑤基本情報入力!$Y$61</f>
        <v>0.1</v>
      </c>
      <c r="P12" s="82">
        <f>+⑤基本情報入力!$AB$61</f>
        <v>2.3E-2</v>
      </c>
      <c r="Q12" s="83">
        <f>+⑤基本情報入力!$AE$61</f>
        <v>20</v>
      </c>
      <c r="R12" s="74" t="s">
        <v>251</v>
      </c>
    </row>
    <row r="13" spans="1:18" ht="15.75">
      <c r="B13" s="1417"/>
      <c r="C13" s="338" t="s">
        <v>16</v>
      </c>
      <c r="D13" s="72"/>
      <c r="E13" s="357">
        <f>+⑤基本情報入力!E55</f>
        <v>0</v>
      </c>
      <c r="F13" s="338" t="s">
        <v>3</v>
      </c>
      <c r="G13" s="79" t="s">
        <v>11</v>
      </c>
      <c r="H13" s="72" t="s">
        <v>661</v>
      </c>
      <c r="I13" s="80">
        <f t="shared" si="0"/>
        <v>0</v>
      </c>
      <c r="J13" s="72" t="s">
        <v>124</v>
      </c>
      <c r="K13" s="69">
        <f>0.878*M13^0.761*E13</f>
        <v>0</v>
      </c>
      <c r="L13" s="72" t="s">
        <v>120</v>
      </c>
      <c r="M13" s="146">
        <f>IFERROR(ROUNDUP('物質収支（既存）'!I84/24,0)/E13,0)</f>
        <v>0</v>
      </c>
      <c r="N13" s="339" t="s">
        <v>298</v>
      </c>
      <c r="O13" s="81">
        <f>+⑤基本情報入力!$Y$61</f>
        <v>0.1</v>
      </c>
      <c r="P13" s="82">
        <f>+⑤基本情報入力!$AB$61</f>
        <v>2.3E-2</v>
      </c>
      <c r="Q13" s="83">
        <f>+⑤基本情報入力!$AE$61</f>
        <v>20</v>
      </c>
      <c r="R13" s="74" t="s">
        <v>252</v>
      </c>
    </row>
    <row r="14" spans="1:18" ht="15.75">
      <c r="A14" s="58"/>
      <c r="B14" s="1417"/>
      <c r="C14" s="1409" t="s">
        <v>10</v>
      </c>
      <c r="D14" s="1412"/>
      <c r="E14" s="357">
        <f>+⑤基本情報入力!E56</f>
        <v>0</v>
      </c>
      <c r="F14" s="338" t="s">
        <v>3</v>
      </c>
      <c r="G14" s="79" t="s">
        <v>11</v>
      </c>
      <c r="H14" s="72" t="s">
        <v>297</v>
      </c>
      <c r="I14" s="80">
        <f t="shared" si="0"/>
        <v>0</v>
      </c>
      <c r="J14" s="72" t="s">
        <v>124</v>
      </c>
      <c r="K14" s="69">
        <f>31.9*M14^0.971*E14</f>
        <v>0</v>
      </c>
      <c r="L14" s="72" t="s">
        <v>120</v>
      </c>
      <c r="M14" s="222">
        <f>IFERROR('物質収支（既存）'!I41/E14,0)</f>
        <v>0</v>
      </c>
      <c r="N14" s="339" t="s">
        <v>0</v>
      </c>
      <c r="O14" s="81">
        <f>+⑤基本情報入力!$Y$61</f>
        <v>0.1</v>
      </c>
      <c r="P14" s="82">
        <f>+⑤基本情報入力!$AB$61</f>
        <v>2.3E-2</v>
      </c>
      <c r="Q14" s="83">
        <f>+⑤基本情報入力!$AE$61</f>
        <v>20</v>
      </c>
      <c r="R14" s="72" t="s">
        <v>253</v>
      </c>
    </row>
    <row r="15" spans="1:18" ht="15.75" customHeight="1">
      <c r="A15" s="58"/>
      <c r="B15" s="1417"/>
      <c r="C15" s="1410"/>
      <c r="D15" s="1413"/>
      <c r="E15" s="357">
        <f>+⑤基本情報入力!E56</f>
        <v>0</v>
      </c>
      <c r="F15" s="338" t="s">
        <v>4</v>
      </c>
      <c r="G15" s="79" t="s">
        <v>11</v>
      </c>
      <c r="H15" s="72" t="s">
        <v>136</v>
      </c>
      <c r="I15" s="80">
        <f t="shared" si="0"/>
        <v>0</v>
      </c>
      <c r="J15" s="72" t="s">
        <v>124</v>
      </c>
      <c r="K15" s="69">
        <f>6.59*M15^0.809*E15</f>
        <v>0</v>
      </c>
      <c r="L15" s="72" t="s">
        <v>120</v>
      </c>
      <c r="M15" s="222">
        <f>+M14</f>
        <v>0</v>
      </c>
      <c r="N15" s="339" t="s">
        <v>0</v>
      </c>
      <c r="O15" s="81">
        <f>+⑤基本情報入力!$Y$62</f>
        <v>0.1</v>
      </c>
      <c r="P15" s="84">
        <f>+⑤基本情報入力!$AB$62</f>
        <v>2.3E-2</v>
      </c>
      <c r="Q15" s="83">
        <f>+⑤基本情報入力!$AE$62</f>
        <v>15</v>
      </c>
      <c r="R15" s="72"/>
    </row>
    <row r="16" spans="1:18" ht="15.75">
      <c r="A16" s="58"/>
      <c r="B16" s="1417"/>
      <c r="C16" s="1411"/>
      <c r="D16" s="1414"/>
      <c r="E16" s="359">
        <f>+⑤基本情報入力!E56</f>
        <v>0</v>
      </c>
      <c r="F16" s="338" t="s">
        <v>5</v>
      </c>
      <c r="G16" s="79" t="s">
        <v>11</v>
      </c>
      <c r="H16" s="72" t="s">
        <v>137</v>
      </c>
      <c r="I16" s="80">
        <f t="shared" si="0"/>
        <v>0</v>
      </c>
      <c r="J16" s="72" t="s">
        <v>124</v>
      </c>
      <c r="K16" s="69">
        <f>12.3*M16^0.941*E16</f>
        <v>0</v>
      </c>
      <c r="L16" s="72" t="s">
        <v>120</v>
      </c>
      <c r="M16" s="222">
        <f>+M14</f>
        <v>0</v>
      </c>
      <c r="N16" s="339" t="s">
        <v>0</v>
      </c>
      <c r="O16" s="81">
        <f>+⑤基本情報入力!$Y$63</f>
        <v>0.1</v>
      </c>
      <c r="P16" s="84">
        <f>+⑤基本情報入力!$AB$63</f>
        <v>2.3E-2</v>
      </c>
      <c r="Q16" s="83">
        <f>+⑤基本情報入力!$AE$63</f>
        <v>40</v>
      </c>
      <c r="R16" s="72"/>
    </row>
    <row r="17" spans="1:18">
      <c r="A17" s="58"/>
      <c r="B17" s="1417"/>
      <c r="C17" s="1419" t="s">
        <v>414</v>
      </c>
      <c r="D17" s="1221"/>
      <c r="E17" s="357">
        <v>0</v>
      </c>
      <c r="F17" s="78" t="s">
        <v>415</v>
      </c>
      <c r="G17" s="79" t="s">
        <v>11</v>
      </c>
      <c r="H17" s="79" t="s">
        <v>662</v>
      </c>
      <c r="I17" s="80">
        <f>K17*(1-O17)*(P17+P17/((P17+1)^Q17-1))</f>
        <v>0</v>
      </c>
      <c r="J17" s="72" t="s">
        <v>124</v>
      </c>
      <c r="K17" s="70">
        <f>1.3132*M17*E17</f>
        <v>0</v>
      </c>
      <c r="L17" s="79" t="s">
        <v>120</v>
      </c>
      <c r="M17" s="222">
        <f>'物質収支（既存）'!X87/24</f>
        <v>0</v>
      </c>
      <c r="N17" s="1221" t="s">
        <v>425</v>
      </c>
      <c r="O17" s="81">
        <f>+⑤基本情報入力!$Y$61</f>
        <v>0.1</v>
      </c>
      <c r="P17" s="82">
        <f>+⑤基本情報入力!$AB$61</f>
        <v>2.3E-2</v>
      </c>
      <c r="Q17" s="83">
        <f>+⑤基本情報入力!$AE$61</f>
        <v>20</v>
      </c>
      <c r="R17" s="72" t="s">
        <v>417</v>
      </c>
    </row>
    <row r="18" spans="1:18">
      <c r="A18" s="58"/>
      <c r="B18" s="1417"/>
      <c r="C18" s="1419"/>
      <c r="D18" s="1221"/>
      <c r="E18" s="359">
        <v>0</v>
      </c>
      <c r="F18" s="78" t="s">
        <v>5</v>
      </c>
      <c r="G18" s="79" t="s">
        <v>11</v>
      </c>
      <c r="H18" s="79" t="s">
        <v>663</v>
      </c>
      <c r="I18" s="80">
        <f>K18*(1-O18)*(P18+P18/((P18+1)^Q18-1))</f>
        <v>0</v>
      </c>
      <c r="J18" s="72" t="s">
        <v>124</v>
      </c>
      <c r="K18" s="70">
        <f>(0.0263*M18+5.8284)*E18</f>
        <v>0</v>
      </c>
      <c r="L18" s="79" t="s">
        <v>120</v>
      </c>
      <c r="M18" s="222">
        <f>'物質収支（既存）'!X87/24</f>
        <v>0</v>
      </c>
      <c r="N18" s="1221"/>
      <c r="O18" s="81">
        <f>+⑤基本情報入力!$Y$63</f>
        <v>0.1</v>
      </c>
      <c r="P18" s="84">
        <f>+⑤基本情報入力!$AB$63</f>
        <v>2.3E-2</v>
      </c>
      <c r="Q18" s="83">
        <f>+⑤基本情報入力!$AE$63</f>
        <v>40</v>
      </c>
      <c r="R18" s="72" t="s">
        <v>417</v>
      </c>
    </row>
    <row r="19" spans="1:18" ht="15.75">
      <c r="A19" s="58"/>
      <c r="B19" s="1417"/>
      <c r="C19" s="1423" t="s">
        <v>310</v>
      </c>
      <c r="D19" s="1347"/>
      <c r="E19" s="357">
        <f>+⑤基本情報入力!E57</f>
        <v>0</v>
      </c>
      <c r="F19" s="338" t="s">
        <v>3</v>
      </c>
      <c r="G19" s="144" t="s">
        <v>11</v>
      </c>
      <c r="H19" s="72" t="s">
        <v>664</v>
      </c>
      <c r="I19" s="94">
        <f t="shared" si="0"/>
        <v>0</v>
      </c>
      <c r="J19" s="97" t="s">
        <v>124</v>
      </c>
      <c r="K19" s="69">
        <f>188.8*M19^0.597*E19</f>
        <v>0</v>
      </c>
      <c r="L19" s="97" t="s">
        <v>120</v>
      </c>
      <c r="M19" s="222">
        <f>IFERROR('物質収支（既存）'!I41/E19,0)</f>
        <v>0</v>
      </c>
      <c r="N19" s="341" t="s">
        <v>0</v>
      </c>
      <c r="O19" s="81">
        <f>+⑤基本情報入力!$Y$61</f>
        <v>0.1</v>
      </c>
      <c r="P19" s="82">
        <f>+⑤基本情報入力!$AB$61</f>
        <v>2.3E-2</v>
      </c>
      <c r="Q19" s="83">
        <f>+⑤基本情報入力!$AE$61</f>
        <v>20</v>
      </c>
      <c r="R19" s="72" t="s">
        <v>316</v>
      </c>
    </row>
    <row r="20" spans="1:18" ht="15.75">
      <c r="A20" s="58"/>
      <c r="B20" s="1417"/>
      <c r="C20" s="1424"/>
      <c r="D20" s="1348"/>
      <c r="E20" s="357">
        <f>+⑤基本情報入力!E57</f>
        <v>0</v>
      </c>
      <c r="F20" s="338" t="s">
        <v>4</v>
      </c>
      <c r="G20" s="144" t="s">
        <v>11</v>
      </c>
      <c r="H20" s="72" t="s">
        <v>665</v>
      </c>
      <c r="I20" s="94">
        <f t="shared" si="0"/>
        <v>0</v>
      </c>
      <c r="J20" s="97" t="s">
        <v>124</v>
      </c>
      <c r="K20" s="69">
        <f>72.6*M20^0.539*E20</f>
        <v>0</v>
      </c>
      <c r="L20" s="97" t="s">
        <v>120</v>
      </c>
      <c r="M20" s="222">
        <f>+M19</f>
        <v>0</v>
      </c>
      <c r="N20" s="341" t="s">
        <v>0</v>
      </c>
      <c r="O20" s="81">
        <f>+⑤基本情報入力!$Y$62</f>
        <v>0.1</v>
      </c>
      <c r="P20" s="84">
        <f>+⑤基本情報入力!$AB$62</f>
        <v>2.3E-2</v>
      </c>
      <c r="Q20" s="83">
        <f>+⑤基本情報入力!$AE$62</f>
        <v>15</v>
      </c>
      <c r="R20" s="72"/>
    </row>
    <row r="21" spans="1:18" ht="16.5" thickBot="1">
      <c r="A21" s="58"/>
      <c r="B21" s="1417"/>
      <c r="C21" s="1425"/>
      <c r="D21" s="1426"/>
      <c r="E21" s="116">
        <f>+⑤基本情報入力!E57</f>
        <v>0</v>
      </c>
      <c r="F21" s="344" t="s">
        <v>8</v>
      </c>
      <c r="G21" s="87" t="s">
        <v>11</v>
      </c>
      <c r="H21" s="88" t="s">
        <v>666</v>
      </c>
      <c r="I21" s="89">
        <f t="shared" si="0"/>
        <v>0</v>
      </c>
      <c r="J21" s="88" t="s">
        <v>124</v>
      </c>
      <c r="K21" s="90">
        <f>136.1*M21^0.38*E21</f>
        <v>0</v>
      </c>
      <c r="L21" s="88" t="s">
        <v>120</v>
      </c>
      <c r="M21" s="224">
        <f>+M19</f>
        <v>0</v>
      </c>
      <c r="N21" s="343" t="s">
        <v>0</v>
      </c>
      <c r="O21" s="91">
        <f>+⑤基本情報入力!$Y$63</f>
        <v>0.1</v>
      </c>
      <c r="P21" s="92">
        <f>+⑤基本情報入力!$AB$63</f>
        <v>2.3E-2</v>
      </c>
      <c r="Q21" s="93">
        <f>+⑤基本情報入力!$AE$63</f>
        <v>40</v>
      </c>
      <c r="R21" s="88"/>
    </row>
    <row r="22" spans="1:18" ht="14.25" thickTop="1">
      <c r="A22" s="58"/>
      <c r="B22" s="1418"/>
      <c r="C22" s="1427" t="s">
        <v>259</v>
      </c>
      <c r="D22" s="1428"/>
      <c r="E22" s="1428"/>
      <c r="F22" s="1428"/>
      <c r="G22" s="1428"/>
      <c r="H22" s="1429"/>
      <c r="I22" s="126">
        <f>SUM(I5:I21)</f>
        <v>0</v>
      </c>
      <c r="J22" s="95" t="s">
        <v>124</v>
      </c>
      <c r="K22" s="143">
        <f>SUM(K5,K7,K9:K21)</f>
        <v>0</v>
      </c>
      <c r="L22" s="142" t="s">
        <v>120</v>
      </c>
      <c r="M22" s="98"/>
      <c r="N22" s="336"/>
      <c r="O22" s="99"/>
      <c r="P22" s="100"/>
      <c r="Q22" s="101"/>
      <c r="R22" s="101"/>
    </row>
    <row r="23" spans="1:18">
      <c r="A23" s="58"/>
      <c r="B23" s="335" t="s">
        <v>260</v>
      </c>
      <c r="C23" s="334" t="s">
        <v>231</v>
      </c>
      <c r="D23" s="334" t="s">
        <v>232</v>
      </c>
      <c r="E23" s="334" t="s">
        <v>233</v>
      </c>
      <c r="F23" s="334" t="s">
        <v>261</v>
      </c>
      <c r="G23" s="1432" t="s">
        <v>235</v>
      </c>
      <c r="H23" s="1432"/>
      <c r="I23" s="1432" t="s">
        <v>237</v>
      </c>
      <c r="J23" s="1432"/>
      <c r="K23" s="1433" t="s">
        <v>291</v>
      </c>
      <c r="L23" s="1433"/>
      <c r="M23" s="1432" t="s">
        <v>97</v>
      </c>
      <c r="N23" s="1432"/>
      <c r="O23" s="1432"/>
      <c r="P23" s="1432"/>
      <c r="Q23" s="1432"/>
      <c r="R23" s="1432"/>
    </row>
    <row r="24" spans="1:18" ht="15.75">
      <c r="A24" s="58"/>
      <c r="B24" s="1420"/>
      <c r="C24" s="338" t="s">
        <v>241</v>
      </c>
      <c r="D24" s="339" t="s">
        <v>242</v>
      </c>
      <c r="E24" s="357">
        <f>+⑤基本情報入力!E53</f>
        <v>0</v>
      </c>
      <c r="F24" s="78" t="s">
        <v>262</v>
      </c>
      <c r="G24" s="79" t="s">
        <v>11</v>
      </c>
      <c r="H24" s="72" t="s">
        <v>658</v>
      </c>
      <c r="I24" s="80">
        <f>0.03*K24^0.628*E24</f>
        <v>0</v>
      </c>
      <c r="J24" s="72" t="s">
        <v>124</v>
      </c>
      <c r="K24" s="222">
        <f>IFERROR('計算条件（既存）'!G7/E24,0)</f>
        <v>0</v>
      </c>
      <c r="L24" s="339" t="s">
        <v>243</v>
      </c>
      <c r="M24" s="1217" t="s">
        <v>263</v>
      </c>
      <c r="N24" s="1218"/>
      <c r="O24" s="1218"/>
      <c r="P24" s="1218"/>
      <c r="Q24" s="1218"/>
      <c r="R24" s="1422"/>
    </row>
    <row r="25" spans="1:18" ht="15.75">
      <c r="B25" s="1420"/>
      <c r="C25" s="338" t="s">
        <v>22</v>
      </c>
      <c r="D25" s="339"/>
      <c r="E25" s="357">
        <f>+⑤基本情報入力!E54</f>
        <v>0</v>
      </c>
      <c r="F25" s="78" t="s">
        <v>264</v>
      </c>
      <c r="G25" s="79" t="s">
        <v>11</v>
      </c>
      <c r="H25" s="72" t="s">
        <v>142</v>
      </c>
      <c r="I25" s="80">
        <f>0.039*K25^0.596*E25</f>
        <v>0</v>
      </c>
      <c r="J25" s="72" t="s">
        <v>124</v>
      </c>
      <c r="K25" s="222">
        <f>IFERROR('計算条件（既存）'!G7*365/E25,0)</f>
        <v>0</v>
      </c>
      <c r="L25" s="339" t="s">
        <v>265</v>
      </c>
      <c r="M25" s="1217" t="s">
        <v>266</v>
      </c>
      <c r="N25" s="1218"/>
      <c r="O25" s="1218"/>
      <c r="P25" s="1218"/>
      <c r="Q25" s="1218"/>
      <c r="R25" s="1422"/>
    </row>
    <row r="26" spans="1:18" ht="15.75">
      <c r="B26" s="1420"/>
      <c r="C26" s="338" t="s">
        <v>246</v>
      </c>
      <c r="D26" s="72"/>
      <c r="E26" s="357">
        <f>IF(E24=0,0,E24/E24)</f>
        <v>0</v>
      </c>
      <c r="F26" s="338" t="s">
        <v>267</v>
      </c>
      <c r="G26" s="79" t="s">
        <v>11</v>
      </c>
      <c r="H26" s="72" t="s">
        <v>141</v>
      </c>
      <c r="I26" s="80">
        <f>0.0024*K26^0.533*E26</f>
        <v>0</v>
      </c>
      <c r="J26" s="72" t="s">
        <v>124</v>
      </c>
      <c r="K26" s="222">
        <f>IFERROR('計算条件（既存）'!G7*365/E26,0)</f>
        <v>0</v>
      </c>
      <c r="L26" s="339" t="s">
        <v>265</v>
      </c>
      <c r="M26" s="1217" t="s">
        <v>266</v>
      </c>
      <c r="N26" s="1218"/>
      <c r="O26" s="1218"/>
      <c r="P26" s="1218"/>
      <c r="Q26" s="1218"/>
      <c r="R26" s="1422"/>
    </row>
    <row r="27" spans="1:18" ht="15.75">
      <c r="B27" s="1420"/>
      <c r="C27" s="355" t="s">
        <v>18</v>
      </c>
      <c r="D27" s="356" t="s">
        <v>249</v>
      </c>
      <c r="E27" s="357">
        <f>+⑤基本情報入力!E55</f>
        <v>0</v>
      </c>
      <c r="F27" s="338" t="s">
        <v>17</v>
      </c>
      <c r="G27" s="79" t="s">
        <v>11</v>
      </c>
      <c r="H27" s="72" t="s">
        <v>313</v>
      </c>
      <c r="I27" s="85">
        <f>0.171*(K27)^0.39*E27</f>
        <v>0</v>
      </c>
      <c r="J27" s="72" t="s">
        <v>124</v>
      </c>
      <c r="K27" s="146">
        <f>IFERROR('計算条件（既存）'!G7*365/E27,0)</f>
        <v>0</v>
      </c>
      <c r="L27" s="339" t="s">
        <v>265</v>
      </c>
      <c r="M27" s="1217" t="s">
        <v>266</v>
      </c>
      <c r="N27" s="1218"/>
      <c r="O27" s="1218"/>
      <c r="P27" s="1218"/>
      <c r="Q27" s="1218"/>
      <c r="R27" s="1422"/>
    </row>
    <row r="28" spans="1:18" ht="15.75">
      <c r="B28" s="1420"/>
      <c r="C28" s="355" t="s">
        <v>9</v>
      </c>
      <c r="D28" s="356"/>
      <c r="E28" s="357">
        <f>+⑤基本情報入力!E55</f>
        <v>0</v>
      </c>
      <c r="F28" s="338" t="s">
        <v>13</v>
      </c>
      <c r="G28" s="79" t="s">
        <v>11</v>
      </c>
      <c r="H28" s="355" t="s">
        <v>667</v>
      </c>
      <c r="I28" s="85">
        <f>0.283*K28^0.302*E28</f>
        <v>0</v>
      </c>
      <c r="J28" s="72" t="s">
        <v>124</v>
      </c>
      <c r="K28" s="146">
        <f>IFERROR(ROUNDUP('物質収支（既存）'!I84/2,-1)/E28,0)</f>
        <v>0</v>
      </c>
      <c r="L28" s="339" t="s">
        <v>1</v>
      </c>
      <c r="M28" s="1217" t="s">
        <v>251</v>
      </c>
      <c r="N28" s="1218"/>
      <c r="O28" s="1218"/>
      <c r="P28" s="1218"/>
      <c r="Q28" s="1218"/>
      <c r="R28" s="1422"/>
    </row>
    <row r="29" spans="1:18" ht="15.75">
      <c r="B29" s="1420"/>
      <c r="C29" s="355" t="s">
        <v>16</v>
      </c>
      <c r="D29" s="356"/>
      <c r="E29" s="357">
        <f>+⑤基本情報入力!E55</f>
        <v>0</v>
      </c>
      <c r="F29" s="338" t="s">
        <v>13</v>
      </c>
      <c r="G29" s="79" t="s">
        <v>11</v>
      </c>
      <c r="H29" s="355" t="s">
        <v>668</v>
      </c>
      <c r="I29" s="85">
        <f>0.0796*K29^0.761*E29</f>
        <v>0</v>
      </c>
      <c r="J29" s="72" t="s">
        <v>124</v>
      </c>
      <c r="K29" s="146">
        <f>IFERROR(ROUNDUP('物質収支（既存）'!I84/24,0)/E29,0)</f>
        <v>0</v>
      </c>
      <c r="L29" s="339" t="s">
        <v>298</v>
      </c>
      <c r="M29" s="1217" t="s">
        <v>252</v>
      </c>
      <c r="N29" s="1218"/>
      <c r="O29" s="1218"/>
      <c r="P29" s="1218"/>
      <c r="Q29" s="1218"/>
      <c r="R29" s="1422"/>
    </row>
    <row r="30" spans="1:18" ht="15.75">
      <c r="B30" s="1420"/>
      <c r="C30" s="355" t="s">
        <v>10</v>
      </c>
      <c r="D30" s="356"/>
      <c r="E30" s="357">
        <f>+⑤基本情報入力!E56</f>
        <v>0</v>
      </c>
      <c r="F30" s="338" t="s">
        <v>17</v>
      </c>
      <c r="G30" s="79" t="s">
        <v>11</v>
      </c>
      <c r="H30" s="72" t="s">
        <v>140</v>
      </c>
      <c r="I30" s="85">
        <f>0.362*K30^0.585*E30</f>
        <v>0</v>
      </c>
      <c r="J30" s="72" t="s">
        <v>124</v>
      </c>
      <c r="K30" s="222">
        <f>IFERROR('物質収支（既存）'!I41*365/E30,0)</f>
        <v>0</v>
      </c>
      <c r="L30" s="339" t="s">
        <v>562</v>
      </c>
      <c r="M30" s="1217" t="s">
        <v>268</v>
      </c>
      <c r="N30" s="1218"/>
      <c r="O30" s="1218"/>
      <c r="P30" s="1218"/>
      <c r="Q30" s="1218"/>
      <c r="R30" s="1422"/>
    </row>
    <row r="31" spans="1:18" ht="15.75">
      <c r="B31" s="1420"/>
      <c r="C31" s="338" t="s">
        <v>414</v>
      </c>
      <c r="D31" s="339"/>
      <c r="E31" s="357">
        <v>0</v>
      </c>
      <c r="F31" s="78" t="s">
        <v>264</v>
      </c>
      <c r="G31" s="79" t="s">
        <v>11</v>
      </c>
      <c r="H31" s="72" t="s">
        <v>669</v>
      </c>
      <c r="I31" s="80">
        <f>0.0579*K31*E31</f>
        <v>0</v>
      </c>
      <c r="J31" s="72" t="s">
        <v>124</v>
      </c>
      <c r="K31" s="222">
        <f>'物質収支（既存）'!X87/24</f>
        <v>0</v>
      </c>
      <c r="L31" s="339" t="s">
        <v>243</v>
      </c>
      <c r="M31" s="1217" t="s">
        <v>417</v>
      </c>
      <c r="N31" s="1218"/>
      <c r="O31" s="1218"/>
      <c r="P31" s="1218"/>
      <c r="Q31" s="1218"/>
      <c r="R31" s="1422"/>
    </row>
    <row r="32" spans="1:18" ht="15.75">
      <c r="B32" s="1420"/>
      <c r="C32" s="340" t="s">
        <v>310</v>
      </c>
      <c r="D32" s="341"/>
      <c r="E32" s="141">
        <f>⑤基本情報入力!E57</f>
        <v>0</v>
      </c>
      <c r="F32" s="340" t="s">
        <v>264</v>
      </c>
      <c r="G32" s="79" t="s">
        <v>11</v>
      </c>
      <c r="H32" s="97" t="s">
        <v>670</v>
      </c>
      <c r="I32" s="140">
        <f>0.287*K32^0.673*E32</f>
        <v>0</v>
      </c>
      <c r="J32" s="72" t="s">
        <v>124</v>
      </c>
      <c r="K32" s="223">
        <f>IFERROR('物質収支（既存）'!I41*365/E32,0)</f>
        <v>0</v>
      </c>
      <c r="L32" s="339" t="s">
        <v>562</v>
      </c>
      <c r="M32" s="1217" t="s">
        <v>563</v>
      </c>
      <c r="N32" s="1218"/>
      <c r="O32" s="1218"/>
      <c r="P32" s="1218"/>
      <c r="Q32" s="1218"/>
      <c r="R32" s="1422"/>
    </row>
    <row r="33" spans="1:18" ht="14.25" thickBot="1">
      <c r="B33" s="1420"/>
      <c r="C33" s="104" t="s">
        <v>139</v>
      </c>
      <c r="D33" s="88" t="s">
        <v>128</v>
      </c>
      <c r="E33" s="88"/>
      <c r="F33" s="104" t="s">
        <v>139</v>
      </c>
      <c r="G33" s="88" t="s">
        <v>271</v>
      </c>
      <c r="H33" s="88"/>
      <c r="I33" s="89">
        <f>+ROUND(⑤基本情報入力!H62*K33/10^6,0)</f>
        <v>0</v>
      </c>
      <c r="J33" s="88" t="s">
        <v>124</v>
      </c>
      <c r="K33" s="224">
        <f>'物質収支（既存）'!X48</f>
        <v>0</v>
      </c>
      <c r="L33" s="343" t="s">
        <v>145</v>
      </c>
      <c r="M33" s="1430" t="s">
        <v>272</v>
      </c>
      <c r="N33" s="1430"/>
      <c r="O33" s="1430"/>
      <c r="P33" s="1430"/>
      <c r="Q33" s="1430"/>
      <c r="R33" s="1430"/>
    </row>
    <row r="34" spans="1:18" ht="14.25" thickTop="1">
      <c r="B34" s="1421"/>
      <c r="C34" s="1210" t="s">
        <v>259</v>
      </c>
      <c r="D34" s="1211"/>
      <c r="E34" s="1211"/>
      <c r="F34" s="1211"/>
      <c r="G34" s="1211"/>
      <c r="H34" s="1212"/>
      <c r="I34" s="80">
        <f>SUM(I24:I33)</f>
        <v>0</v>
      </c>
      <c r="J34" s="95" t="s">
        <v>124</v>
      </c>
      <c r="K34" s="95"/>
      <c r="L34" s="101"/>
      <c r="M34" s="1431"/>
      <c r="N34" s="1431"/>
      <c r="O34" s="1431"/>
      <c r="P34" s="1431"/>
      <c r="Q34" s="1431"/>
      <c r="R34" s="1431"/>
    </row>
    <row r="35" spans="1:18" s="105" customFormat="1">
      <c r="A35" s="157"/>
      <c r="B35" s="139"/>
      <c r="C35" s="367"/>
      <c r="D35" s="367"/>
      <c r="E35" s="367"/>
      <c r="F35" s="367"/>
      <c r="G35" s="367"/>
      <c r="H35" s="367"/>
      <c r="I35" s="106"/>
      <c r="J35" s="107"/>
      <c r="K35" s="108"/>
      <c r="L35" s="108"/>
      <c r="M35" s="367"/>
      <c r="N35" s="367"/>
      <c r="O35" s="367"/>
      <c r="P35" s="367"/>
      <c r="Q35" s="367"/>
      <c r="R35" s="367"/>
    </row>
    <row r="37" spans="1:18">
      <c r="A37" s="148" t="str">
        <f>+⑤基本情報入力!J51</f>
        <v>②</v>
      </c>
      <c r="B37" s="1232">
        <f>+⑤基本情報入力!J52</f>
        <v>0</v>
      </c>
      <c r="C37" s="1232"/>
    </row>
    <row r="38" spans="1:18">
      <c r="B38" s="354" t="s">
        <v>230</v>
      </c>
      <c r="C38" s="337" t="s">
        <v>231</v>
      </c>
      <c r="D38" s="337" t="s">
        <v>232</v>
      </c>
      <c r="E38" s="337" t="s">
        <v>233</v>
      </c>
      <c r="F38" s="337" t="s">
        <v>23</v>
      </c>
      <c r="G38" s="1415" t="s">
        <v>235</v>
      </c>
      <c r="H38" s="1415"/>
      <c r="I38" s="1415" t="s">
        <v>236</v>
      </c>
      <c r="J38" s="1415"/>
      <c r="K38" s="1415" t="s">
        <v>237</v>
      </c>
      <c r="L38" s="1415"/>
      <c r="M38" s="1416" t="s">
        <v>291</v>
      </c>
      <c r="N38" s="1416"/>
      <c r="O38" s="77" t="s">
        <v>238</v>
      </c>
      <c r="P38" s="77" t="s">
        <v>239</v>
      </c>
      <c r="Q38" s="77" t="s">
        <v>240</v>
      </c>
      <c r="R38" s="337" t="s">
        <v>97</v>
      </c>
    </row>
    <row r="39" spans="1:18" ht="15.75">
      <c r="B39" s="1417"/>
      <c r="C39" s="1419" t="s">
        <v>241</v>
      </c>
      <c r="D39" s="1221" t="s">
        <v>242</v>
      </c>
      <c r="E39" s="357">
        <f>+⑤基本情報入力!J53</f>
        <v>0</v>
      </c>
      <c r="F39" s="78" t="s">
        <v>3</v>
      </c>
      <c r="G39" s="79" t="s">
        <v>11</v>
      </c>
      <c r="H39" s="79" t="s">
        <v>653</v>
      </c>
      <c r="I39" s="80">
        <f>K39*(1-O39)*(P39+P39/((P39+1)^Q39-1))</f>
        <v>0</v>
      </c>
      <c r="J39" s="72" t="s">
        <v>124</v>
      </c>
      <c r="K39" s="70">
        <f>1.31*M39^0.611*E39</f>
        <v>0</v>
      </c>
      <c r="L39" s="79" t="s">
        <v>120</v>
      </c>
      <c r="M39" s="80">
        <f>IFERROR('計算条件（既存）'!H13/E39,0)</f>
        <v>0</v>
      </c>
      <c r="N39" s="1221" t="s">
        <v>243</v>
      </c>
      <c r="O39" s="81">
        <f>+⑤基本情報入力!$Y$61</f>
        <v>0.1</v>
      </c>
      <c r="P39" s="82">
        <f>+⑤基本情報入力!$AB$61</f>
        <v>2.3E-2</v>
      </c>
      <c r="Q39" s="83">
        <f>+⑤基本情報入力!$AE$61</f>
        <v>20</v>
      </c>
      <c r="R39" s="72" t="s">
        <v>244</v>
      </c>
    </row>
    <row r="40" spans="1:18" ht="15.75">
      <c r="B40" s="1417"/>
      <c r="C40" s="1419"/>
      <c r="D40" s="1221"/>
      <c r="E40" s="359">
        <v>0</v>
      </c>
      <c r="F40" s="78" t="s">
        <v>8</v>
      </c>
      <c r="G40" s="79" t="s">
        <v>11</v>
      </c>
      <c r="H40" s="79" t="s">
        <v>654</v>
      </c>
      <c r="I40" s="80">
        <f>K40*(1-O40)*(P40+P40/((P40+1)^Q40-1))</f>
        <v>0</v>
      </c>
      <c r="J40" s="72" t="s">
        <v>124</v>
      </c>
      <c r="K40" s="70">
        <f>1.24*M40^0.598*E40</f>
        <v>0</v>
      </c>
      <c r="L40" s="79" t="s">
        <v>120</v>
      </c>
      <c r="M40" s="80">
        <f>+M39</f>
        <v>0</v>
      </c>
      <c r="N40" s="1221"/>
      <c r="O40" s="81">
        <f>+⑤基本情報入力!$Y$63</f>
        <v>0.1</v>
      </c>
      <c r="P40" s="84">
        <f>+⑤基本情報入力!$AB$63</f>
        <v>2.3E-2</v>
      </c>
      <c r="Q40" s="83">
        <f>+⑤基本情報入力!$AE$63</f>
        <v>40</v>
      </c>
      <c r="R40" s="72" t="s">
        <v>244</v>
      </c>
    </row>
    <row r="41" spans="1:18" ht="15.75">
      <c r="B41" s="1417"/>
      <c r="C41" s="1419" t="s">
        <v>22</v>
      </c>
      <c r="D41" s="1221"/>
      <c r="E41" s="357">
        <f>+⑤基本情報入力!J54</f>
        <v>0</v>
      </c>
      <c r="F41" s="78" t="s">
        <v>3</v>
      </c>
      <c r="G41" s="79" t="s">
        <v>11</v>
      </c>
      <c r="H41" s="79" t="s">
        <v>655</v>
      </c>
      <c r="I41" s="80">
        <f>K41*(1-O41)*(P41+P41/((P41+1)^Q41-1))</f>
        <v>0</v>
      </c>
      <c r="J41" s="72" t="s">
        <v>124</v>
      </c>
      <c r="K41" s="70">
        <f>22.7*M41^0.444*E41</f>
        <v>0</v>
      </c>
      <c r="L41" s="79" t="s">
        <v>120</v>
      </c>
      <c r="M41" s="80">
        <f>IFERROR('計算条件（既存）'!H13/E41,0)</f>
        <v>0</v>
      </c>
      <c r="N41" s="1221" t="s">
        <v>243</v>
      </c>
      <c r="O41" s="81">
        <f>+⑤基本情報入力!$Y$61</f>
        <v>0.1</v>
      </c>
      <c r="P41" s="82">
        <f>+⑤基本情報入力!$AB$61</f>
        <v>2.3E-2</v>
      </c>
      <c r="Q41" s="83">
        <f>+⑤基本情報入力!$AE$61</f>
        <v>20</v>
      </c>
      <c r="R41" s="72" t="s">
        <v>244</v>
      </c>
    </row>
    <row r="42" spans="1:18" ht="15.75">
      <c r="B42" s="1417"/>
      <c r="C42" s="1419"/>
      <c r="D42" s="1221"/>
      <c r="E42" s="359">
        <v>0</v>
      </c>
      <c r="F42" s="78" t="s">
        <v>8</v>
      </c>
      <c r="G42" s="79" t="s">
        <v>11</v>
      </c>
      <c r="H42" s="79" t="s">
        <v>656</v>
      </c>
      <c r="I42" s="80">
        <f>K42*(1-O42)*(P42+P42/((P42+1)^Q42-1))</f>
        <v>0</v>
      </c>
      <c r="J42" s="72" t="s">
        <v>124</v>
      </c>
      <c r="K42" s="70">
        <f>43.4*M42^0.373*E42</f>
        <v>0</v>
      </c>
      <c r="L42" s="79" t="s">
        <v>120</v>
      </c>
      <c r="M42" s="80">
        <f>+M41</f>
        <v>0</v>
      </c>
      <c r="N42" s="1221"/>
      <c r="O42" s="81">
        <f>+⑤基本情報入力!$Y$63</f>
        <v>0.1</v>
      </c>
      <c r="P42" s="84">
        <f>+⑤基本情報入力!$AB$63</f>
        <v>2.3E-2</v>
      </c>
      <c r="Q42" s="83">
        <f>+⑤基本情報入力!$AE$63</f>
        <v>40</v>
      </c>
      <c r="R42" s="72" t="s">
        <v>244</v>
      </c>
    </row>
    <row r="43" spans="1:18" ht="15.75">
      <c r="B43" s="1417"/>
      <c r="C43" s="338" t="s">
        <v>246</v>
      </c>
      <c r="D43" s="72"/>
      <c r="E43" s="357">
        <f>+⑤基本情報入力!J53</f>
        <v>0</v>
      </c>
      <c r="F43" s="338" t="s">
        <v>4</v>
      </c>
      <c r="G43" s="79" t="s">
        <v>11</v>
      </c>
      <c r="H43" s="72" t="s">
        <v>657</v>
      </c>
      <c r="I43" s="80">
        <f>K43*(1-O43)*(P43+P43/((P43+1)^Q43-1))</f>
        <v>0</v>
      </c>
      <c r="J43" s="72" t="s">
        <v>124</v>
      </c>
      <c r="K43" s="69">
        <f>17.8*M43^0.464*E43</f>
        <v>0</v>
      </c>
      <c r="L43" s="72" t="s">
        <v>120</v>
      </c>
      <c r="M43" s="80">
        <f>IFERROR('計算条件（既存）'!H13/E43,0)</f>
        <v>0</v>
      </c>
      <c r="N43" s="339" t="s">
        <v>243</v>
      </c>
      <c r="O43" s="81">
        <f>+⑤基本情報入力!$Y$62</f>
        <v>0.1</v>
      </c>
      <c r="P43" s="84">
        <f>+⑤基本情報入力!$AB$62</f>
        <v>2.3E-2</v>
      </c>
      <c r="Q43" s="83">
        <f>+⑤基本情報入力!$AE$62</f>
        <v>15</v>
      </c>
      <c r="R43" s="72" t="s">
        <v>247</v>
      </c>
    </row>
    <row r="44" spans="1:18" ht="15.75">
      <c r="B44" s="1417"/>
      <c r="C44" s="1407" t="s">
        <v>18</v>
      </c>
      <c r="D44" s="1408" t="s">
        <v>249</v>
      </c>
      <c r="E44" s="357">
        <f>+⑤基本情報入力!J55</f>
        <v>0</v>
      </c>
      <c r="F44" s="338" t="s">
        <v>3</v>
      </c>
      <c r="G44" s="79" t="s">
        <v>11</v>
      </c>
      <c r="H44" s="72" t="s">
        <v>134</v>
      </c>
      <c r="I44" s="80">
        <f t="shared" ref="I44:I53" si="1">K44*(1-O44)*(P44+P44/((P44+1)^Q44-1))</f>
        <v>0</v>
      </c>
      <c r="J44" s="72" t="s">
        <v>124</v>
      </c>
      <c r="K44" s="69">
        <f>124*(M44/500)^0.6*E44</f>
        <v>0</v>
      </c>
      <c r="L44" s="72" t="s">
        <v>120</v>
      </c>
      <c r="M44" s="146">
        <f>IFERROR(ROUNDUP('物質収支（既存）'!J10*25,-1)/E44,0)</f>
        <v>0</v>
      </c>
      <c r="N44" s="339" t="s">
        <v>1</v>
      </c>
      <c r="O44" s="81">
        <f>+⑤基本情報入力!$Y$61</f>
        <v>0.1</v>
      </c>
      <c r="P44" s="82">
        <f>+⑤基本情報入力!$AB$61</f>
        <v>2.3E-2</v>
      </c>
      <c r="Q44" s="83">
        <f>+⑤基本情報入力!$AE$61</f>
        <v>20</v>
      </c>
      <c r="R44" s="72" t="s">
        <v>561</v>
      </c>
    </row>
    <row r="45" spans="1:18" ht="15.75">
      <c r="B45" s="1417"/>
      <c r="C45" s="1407"/>
      <c r="D45" s="1408"/>
      <c r="E45" s="359">
        <v>0</v>
      </c>
      <c r="F45" s="338" t="s">
        <v>8</v>
      </c>
      <c r="G45" s="79" t="s">
        <v>11</v>
      </c>
      <c r="H45" s="72" t="s">
        <v>135</v>
      </c>
      <c r="I45" s="80">
        <f t="shared" si="1"/>
        <v>0</v>
      </c>
      <c r="J45" s="72" t="s">
        <v>124</v>
      </c>
      <c r="K45" s="69">
        <f>44.1*(M45/500)^0.6*E45</f>
        <v>0</v>
      </c>
      <c r="L45" s="72" t="s">
        <v>120</v>
      </c>
      <c r="M45" s="146">
        <f>+M44</f>
        <v>0</v>
      </c>
      <c r="N45" s="339" t="s">
        <v>1</v>
      </c>
      <c r="O45" s="81">
        <f>+⑤基本情報入力!$Y$63</f>
        <v>0.1</v>
      </c>
      <c r="P45" s="84">
        <f>+⑤基本情報入力!$AB$63</f>
        <v>2.3E-2</v>
      </c>
      <c r="Q45" s="83">
        <f>+⑤基本情報入力!$AE$63</f>
        <v>40</v>
      </c>
      <c r="R45" s="86"/>
    </row>
    <row r="46" spans="1:18" ht="15.75">
      <c r="B46" s="1417"/>
      <c r="C46" s="338" t="s">
        <v>9</v>
      </c>
      <c r="D46" s="72"/>
      <c r="E46" s="357">
        <f>+⑤基本情報入力!J55</f>
        <v>0</v>
      </c>
      <c r="F46" s="338" t="s">
        <v>3</v>
      </c>
      <c r="G46" s="79" t="s">
        <v>11</v>
      </c>
      <c r="H46" s="72" t="s">
        <v>660</v>
      </c>
      <c r="I46" s="80">
        <f t="shared" si="1"/>
        <v>0</v>
      </c>
      <c r="J46" s="72" t="s">
        <v>124</v>
      </c>
      <c r="K46" s="69">
        <f>10.4*M46^0.437*E46</f>
        <v>0</v>
      </c>
      <c r="L46" s="72" t="s">
        <v>120</v>
      </c>
      <c r="M46" s="146">
        <f>IFERROR(ROUNDUP('物質収支（既存）'!J84/2,-1)/E46,0)</f>
        <v>0</v>
      </c>
      <c r="N46" s="339" t="s">
        <v>1</v>
      </c>
      <c r="O46" s="81">
        <f>+⑤基本情報入力!$Y$61</f>
        <v>0.1</v>
      </c>
      <c r="P46" s="82">
        <f>+⑤基本情報入力!$AB$61</f>
        <v>2.3E-2</v>
      </c>
      <c r="Q46" s="83">
        <f>+⑤基本情報入力!$AE$61</f>
        <v>20</v>
      </c>
      <c r="R46" s="74" t="s">
        <v>251</v>
      </c>
    </row>
    <row r="47" spans="1:18" ht="15.75">
      <c r="B47" s="1417"/>
      <c r="C47" s="338" t="s">
        <v>16</v>
      </c>
      <c r="D47" s="72"/>
      <c r="E47" s="357">
        <f>+⑤基本情報入力!J55</f>
        <v>0</v>
      </c>
      <c r="F47" s="338" t="s">
        <v>3</v>
      </c>
      <c r="G47" s="79" t="s">
        <v>11</v>
      </c>
      <c r="H47" s="72" t="s">
        <v>661</v>
      </c>
      <c r="I47" s="80">
        <f t="shared" si="1"/>
        <v>0</v>
      </c>
      <c r="J47" s="72" t="s">
        <v>124</v>
      </c>
      <c r="K47" s="69">
        <f>0.878*M47^0.761*E47</f>
        <v>0</v>
      </c>
      <c r="L47" s="72" t="s">
        <v>120</v>
      </c>
      <c r="M47" s="146">
        <f>IFERROR(ROUNDUP('物質収支（既存）'!J84/24,0)/E47,0)</f>
        <v>0</v>
      </c>
      <c r="N47" s="339" t="s">
        <v>298</v>
      </c>
      <c r="O47" s="81">
        <f>+⑤基本情報入力!$Y$61</f>
        <v>0.1</v>
      </c>
      <c r="P47" s="82">
        <f>+⑤基本情報入力!$AB$61</f>
        <v>2.3E-2</v>
      </c>
      <c r="Q47" s="83">
        <f>+⑤基本情報入力!$AE$61</f>
        <v>20</v>
      </c>
      <c r="R47" s="74" t="s">
        <v>252</v>
      </c>
    </row>
    <row r="48" spans="1:18" ht="15.75">
      <c r="A48" s="58"/>
      <c r="B48" s="1417"/>
      <c r="C48" s="1409" t="s">
        <v>10</v>
      </c>
      <c r="D48" s="1412"/>
      <c r="E48" s="357">
        <f>+⑤基本情報入力!J56</f>
        <v>0</v>
      </c>
      <c r="F48" s="338" t="s">
        <v>3</v>
      </c>
      <c r="G48" s="79" t="s">
        <v>11</v>
      </c>
      <c r="H48" s="72" t="s">
        <v>297</v>
      </c>
      <c r="I48" s="80">
        <f t="shared" si="1"/>
        <v>0</v>
      </c>
      <c r="J48" s="72" t="s">
        <v>124</v>
      </c>
      <c r="K48" s="69">
        <f>31.9*M48^0.971*E48</f>
        <v>0</v>
      </c>
      <c r="L48" s="72" t="s">
        <v>120</v>
      </c>
      <c r="M48" s="222">
        <f>IFERROR('物質収支（既存）'!J41/E48,0)</f>
        <v>0</v>
      </c>
      <c r="N48" s="339" t="s">
        <v>0</v>
      </c>
      <c r="O48" s="81">
        <f>+⑤基本情報入力!$Y$61</f>
        <v>0.1</v>
      </c>
      <c r="P48" s="82">
        <f>+⑤基本情報入力!$AB$61</f>
        <v>2.3E-2</v>
      </c>
      <c r="Q48" s="83">
        <f>+⑤基本情報入力!$AE$61</f>
        <v>20</v>
      </c>
      <c r="R48" s="72" t="s">
        <v>253</v>
      </c>
    </row>
    <row r="49" spans="1:18" ht="15.75" customHeight="1">
      <c r="A49" s="58"/>
      <c r="B49" s="1417"/>
      <c r="C49" s="1410"/>
      <c r="D49" s="1413"/>
      <c r="E49" s="357">
        <f>+⑤基本情報入力!J56</f>
        <v>0</v>
      </c>
      <c r="F49" s="338" t="s">
        <v>4</v>
      </c>
      <c r="G49" s="79" t="s">
        <v>11</v>
      </c>
      <c r="H49" s="72" t="s">
        <v>136</v>
      </c>
      <c r="I49" s="80">
        <f t="shared" si="1"/>
        <v>0</v>
      </c>
      <c r="J49" s="72" t="s">
        <v>124</v>
      </c>
      <c r="K49" s="69">
        <f>6.59*M49^0.809*E49</f>
        <v>0</v>
      </c>
      <c r="L49" s="72" t="s">
        <v>120</v>
      </c>
      <c r="M49" s="222">
        <f>+M48</f>
        <v>0</v>
      </c>
      <c r="N49" s="339" t="s">
        <v>0</v>
      </c>
      <c r="O49" s="81">
        <f>+⑤基本情報入力!$Y$62</f>
        <v>0.1</v>
      </c>
      <c r="P49" s="84">
        <f>+⑤基本情報入力!$AB$62</f>
        <v>2.3E-2</v>
      </c>
      <c r="Q49" s="83">
        <f>+⑤基本情報入力!$AE$62</f>
        <v>15</v>
      </c>
      <c r="R49" s="72"/>
    </row>
    <row r="50" spans="1:18" ht="15.75">
      <c r="A50" s="58"/>
      <c r="B50" s="1417"/>
      <c r="C50" s="1411"/>
      <c r="D50" s="1414"/>
      <c r="E50" s="359">
        <v>0</v>
      </c>
      <c r="F50" s="338" t="s">
        <v>5</v>
      </c>
      <c r="G50" s="79" t="s">
        <v>11</v>
      </c>
      <c r="H50" s="72" t="s">
        <v>137</v>
      </c>
      <c r="I50" s="80">
        <f t="shared" si="1"/>
        <v>0</v>
      </c>
      <c r="J50" s="72" t="s">
        <v>124</v>
      </c>
      <c r="K50" s="69">
        <f>12.3*M50^0.941*E50</f>
        <v>0</v>
      </c>
      <c r="L50" s="72" t="s">
        <v>120</v>
      </c>
      <c r="M50" s="222">
        <f>+M48</f>
        <v>0</v>
      </c>
      <c r="N50" s="339" t="s">
        <v>0</v>
      </c>
      <c r="O50" s="81">
        <f>+⑤基本情報入力!$Y$63</f>
        <v>0.1</v>
      </c>
      <c r="P50" s="84">
        <f>+⑤基本情報入力!$AB$63</f>
        <v>2.3E-2</v>
      </c>
      <c r="Q50" s="83">
        <f>+⑤基本情報入力!$AE$63</f>
        <v>40</v>
      </c>
      <c r="R50" s="72"/>
    </row>
    <row r="51" spans="1:18" ht="15.75">
      <c r="A51" s="58"/>
      <c r="B51" s="1417"/>
      <c r="C51" s="1423" t="s">
        <v>310</v>
      </c>
      <c r="D51" s="1347"/>
      <c r="E51" s="357">
        <f>+⑤基本情報入力!J57</f>
        <v>0</v>
      </c>
      <c r="F51" s="338" t="s">
        <v>3</v>
      </c>
      <c r="G51" s="144" t="s">
        <v>11</v>
      </c>
      <c r="H51" s="72" t="s">
        <v>664</v>
      </c>
      <c r="I51" s="94">
        <f t="shared" si="1"/>
        <v>0</v>
      </c>
      <c r="J51" s="97" t="s">
        <v>124</v>
      </c>
      <c r="K51" s="69">
        <f>188.8*M51^0.597*E51</f>
        <v>0</v>
      </c>
      <c r="L51" s="97" t="s">
        <v>120</v>
      </c>
      <c r="M51" s="222">
        <f>IFERROR('物質収支（既存）'!J41/E51,0)</f>
        <v>0</v>
      </c>
      <c r="N51" s="341" t="s">
        <v>0</v>
      </c>
      <c r="O51" s="81">
        <f>+⑤基本情報入力!$Y$61</f>
        <v>0.1</v>
      </c>
      <c r="P51" s="82">
        <f>+⑤基本情報入力!$AB$61</f>
        <v>2.3E-2</v>
      </c>
      <c r="Q51" s="83">
        <f>+⑤基本情報入力!$AE$61</f>
        <v>20</v>
      </c>
      <c r="R51" s="72" t="s">
        <v>316</v>
      </c>
    </row>
    <row r="52" spans="1:18" ht="15.75">
      <c r="A52" s="58"/>
      <c r="B52" s="1417"/>
      <c r="C52" s="1424"/>
      <c r="D52" s="1348"/>
      <c r="E52" s="357">
        <f>+⑤基本情報入力!J57</f>
        <v>0</v>
      </c>
      <c r="F52" s="338" t="s">
        <v>4</v>
      </c>
      <c r="G52" s="144" t="s">
        <v>11</v>
      </c>
      <c r="H52" s="72" t="s">
        <v>665</v>
      </c>
      <c r="I52" s="94">
        <f t="shared" si="1"/>
        <v>0</v>
      </c>
      <c r="J52" s="97" t="s">
        <v>124</v>
      </c>
      <c r="K52" s="69">
        <f>72.6*M52^0.539*E52</f>
        <v>0</v>
      </c>
      <c r="L52" s="97" t="s">
        <v>120</v>
      </c>
      <c r="M52" s="222">
        <f>+M51</f>
        <v>0</v>
      </c>
      <c r="N52" s="341" t="s">
        <v>0</v>
      </c>
      <c r="O52" s="81">
        <f>+⑤基本情報入力!$Y$62</f>
        <v>0.1</v>
      </c>
      <c r="P52" s="84">
        <f>+⑤基本情報入力!$AB$62</f>
        <v>2.3E-2</v>
      </c>
      <c r="Q52" s="83">
        <f>+⑤基本情報入力!$AE$62</f>
        <v>15</v>
      </c>
      <c r="R52" s="72"/>
    </row>
    <row r="53" spans="1:18" ht="16.5" thickBot="1">
      <c r="A53" s="58"/>
      <c r="B53" s="1417"/>
      <c r="C53" s="1425"/>
      <c r="D53" s="1426"/>
      <c r="E53" s="116">
        <v>0</v>
      </c>
      <c r="F53" s="344" t="s">
        <v>8</v>
      </c>
      <c r="G53" s="87" t="s">
        <v>11</v>
      </c>
      <c r="H53" s="88" t="s">
        <v>666</v>
      </c>
      <c r="I53" s="89">
        <f t="shared" si="1"/>
        <v>0</v>
      </c>
      <c r="J53" s="88" t="s">
        <v>124</v>
      </c>
      <c r="K53" s="90">
        <f>136.1*M53^0.38*E53</f>
        <v>0</v>
      </c>
      <c r="L53" s="88" t="s">
        <v>120</v>
      </c>
      <c r="M53" s="224">
        <f>+M51</f>
        <v>0</v>
      </c>
      <c r="N53" s="343" t="s">
        <v>0</v>
      </c>
      <c r="O53" s="91">
        <f>+⑤基本情報入力!$Y$63</f>
        <v>0.1</v>
      </c>
      <c r="P53" s="92">
        <f>+⑤基本情報入力!$AB$63</f>
        <v>2.3E-2</v>
      </c>
      <c r="Q53" s="93">
        <f>+⑤基本情報入力!$AE$63</f>
        <v>40</v>
      </c>
      <c r="R53" s="88"/>
    </row>
    <row r="54" spans="1:18" ht="14.25" thickTop="1">
      <c r="B54" s="1418"/>
      <c r="C54" s="1434" t="s">
        <v>259</v>
      </c>
      <c r="D54" s="1434"/>
      <c r="E54" s="1434"/>
      <c r="F54" s="1434"/>
      <c r="G54" s="1434"/>
      <c r="H54" s="1434"/>
      <c r="I54" s="109">
        <f>SUM(I39:I53)</f>
        <v>0</v>
      </c>
      <c r="J54" s="110" t="s">
        <v>124</v>
      </c>
      <c r="K54" s="111">
        <f>SUM(K39:K53)</f>
        <v>0</v>
      </c>
      <c r="L54" s="112" t="s">
        <v>120</v>
      </c>
      <c r="M54" s="113"/>
      <c r="N54" s="336"/>
      <c r="O54" s="99"/>
      <c r="P54" s="100"/>
      <c r="Q54" s="101"/>
      <c r="R54" s="101"/>
    </row>
    <row r="55" spans="1:18">
      <c r="B55" s="335" t="s">
        <v>260</v>
      </c>
      <c r="C55" s="334" t="s">
        <v>231</v>
      </c>
      <c r="D55" s="334" t="s">
        <v>232</v>
      </c>
      <c r="E55" s="334" t="s">
        <v>233</v>
      </c>
      <c r="F55" s="334" t="s">
        <v>273</v>
      </c>
      <c r="G55" s="1432" t="s">
        <v>235</v>
      </c>
      <c r="H55" s="1432"/>
      <c r="I55" s="1432" t="s">
        <v>237</v>
      </c>
      <c r="J55" s="1432"/>
      <c r="K55" s="1433" t="s">
        <v>291</v>
      </c>
      <c r="L55" s="1433"/>
      <c r="M55" s="1432" t="s">
        <v>97</v>
      </c>
      <c r="N55" s="1432"/>
      <c r="O55" s="1432"/>
      <c r="P55" s="1432"/>
      <c r="Q55" s="1432"/>
      <c r="R55" s="1432"/>
    </row>
    <row r="56" spans="1:18" ht="15.75">
      <c r="B56" s="1435"/>
      <c r="C56" s="338" t="s">
        <v>241</v>
      </c>
      <c r="D56" s="339" t="s">
        <v>242</v>
      </c>
      <c r="E56" s="357">
        <f>+⑤基本情報入力!J53</f>
        <v>0</v>
      </c>
      <c r="F56" s="78" t="s">
        <v>262</v>
      </c>
      <c r="G56" s="79" t="s">
        <v>11</v>
      </c>
      <c r="H56" s="72" t="s">
        <v>658</v>
      </c>
      <c r="I56" s="80">
        <f>0.03*K56^0.628*E56</f>
        <v>0</v>
      </c>
      <c r="J56" s="72" t="s">
        <v>124</v>
      </c>
      <c r="K56" s="80">
        <f>IFERROR('計算条件（既存）'!G13/E56,0)</f>
        <v>0</v>
      </c>
      <c r="L56" s="339" t="s">
        <v>243</v>
      </c>
      <c r="M56" s="1217" t="s">
        <v>263</v>
      </c>
      <c r="N56" s="1218"/>
      <c r="O56" s="1218"/>
      <c r="P56" s="1218"/>
      <c r="Q56" s="1218"/>
      <c r="R56" s="1422"/>
    </row>
    <row r="57" spans="1:18" ht="15.75">
      <c r="B57" s="1435"/>
      <c r="C57" s="338" t="s">
        <v>22</v>
      </c>
      <c r="D57" s="339"/>
      <c r="E57" s="357">
        <f>+⑤基本情報入力!J54</f>
        <v>0</v>
      </c>
      <c r="F57" s="78" t="s">
        <v>308</v>
      </c>
      <c r="G57" s="79" t="s">
        <v>11</v>
      </c>
      <c r="H57" s="72" t="s">
        <v>142</v>
      </c>
      <c r="I57" s="80">
        <f>0.039*K57^0.596*E57</f>
        <v>0</v>
      </c>
      <c r="J57" s="72" t="s">
        <v>124</v>
      </c>
      <c r="K57" s="80">
        <f>IFERROR('計算条件（既存）'!G13*365/E57,0)</f>
        <v>0</v>
      </c>
      <c r="L57" s="339" t="s">
        <v>265</v>
      </c>
      <c r="M57" s="1217" t="s">
        <v>266</v>
      </c>
      <c r="N57" s="1218"/>
      <c r="O57" s="1218"/>
      <c r="P57" s="1218"/>
      <c r="Q57" s="1218"/>
      <c r="R57" s="1422"/>
    </row>
    <row r="58" spans="1:18" ht="15.75">
      <c r="B58" s="1435"/>
      <c r="C58" s="338" t="s">
        <v>246</v>
      </c>
      <c r="D58" s="72"/>
      <c r="E58" s="357">
        <f>+⑤基本情報入力!J53</f>
        <v>0</v>
      </c>
      <c r="F58" s="338" t="s">
        <v>267</v>
      </c>
      <c r="G58" s="79" t="s">
        <v>11</v>
      </c>
      <c r="H58" s="72" t="s">
        <v>141</v>
      </c>
      <c r="I58" s="80">
        <f>0.0024*K58^0.533*E58</f>
        <v>0</v>
      </c>
      <c r="J58" s="72" t="s">
        <v>124</v>
      </c>
      <c r="K58" s="80">
        <f>IFERROR('計算条件（既存）'!G13*365/E58,0)</f>
        <v>0</v>
      </c>
      <c r="L58" s="339" t="s">
        <v>265</v>
      </c>
      <c r="M58" s="1217" t="s">
        <v>266</v>
      </c>
      <c r="N58" s="1218"/>
      <c r="O58" s="1218"/>
      <c r="P58" s="1218"/>
      <c r="Q58" s="1218"/>
      <c r="R58" s="1422"/>
    </row>
    <row r="59" spans="1:18" ht="15.75">
      <c r="B59" s="1435"/>
      <c r="C59" s="355" t="s">
        <v>18</v>
      </c>
      <c r="D59" s="356" t="s">
        <v>249</v>
      </c>
      <c r="E59" s="357">
        <f>+⑤基本情報入力!J55</f>
        <v>0</v>
      </c>
      <c r="F59" s="338" t="s">
        <v>17</v>
      </c>
      <c r="G59" s="79" t="s">
        <v>11</v>
      </c>
      <c r="H59" s="72" t="s">
        <v>313</v>
      </c>
      <c r="I59" s="85">
        <f>0.171*(K59)^0.39*E59</f>
        <v>0</v>
      </c>
      <c r="J59" s="72" t="s">
        <v>124</v>
      </c>
      <c r="K59" s="146">
        <f>IFERROR('計算条件（既存）'!G13*365/E59,0)</f>
        <v>0</v>
      </c>
      <c r="L59" s="339" t="s">
        <v>265</v>
      </c>
      <c r="M59" s="1217" t="s">
        <v>266</v>
      </c>
      <c r="N59" s="1218"/>
      <c r="O59" s="1218"/>
      <c r="P59" s="1218"/>
      <c r="Q59" s="1218"/>
      <c r="R59" s="1422"/>
    </row>
    <row r="60" spans="1:18" ht="15.75">
      <c r="B60" s="1435"/>
      <c r="C60" s="355" t="s">
        <v>9</v>
      </c>
      <c r="D60" s="356"/>
      <c r="E60" s="357">
        <f>+⑤基本情報入力!J55</f>
        <v>0</v>
      </c>
      <c r="F60" s="338" t="s">
        <v>13</v>
      </c>
      <c r="G60" s="79" t="s">
        <v>11</v>
      </c>
      <c r="H60" s="355" t="s">
        <v>667</v>
      </c>
      <c r="I60" s="85">
        <f>0.283*K60^0.302*E60</f>
        <v>0</v>
      </c>
      <c r="J60" s="72" t="s">
        <v>124</v>
      </c>
      <c r="K60" s="146">
        <f>IFERROR(ROUNDUP('物質収支（既存）'!J84/2,-1)/E60,0)</f>
        <v>0</v>
      </c>
      <c r="L60" s="339" t="s">
        <v>1</v>
      </c>
      <c r="M60" s="1217" t="s">
        <v>251</v>
      </c>
      <c r="N60" s="1218"/>
      <c r="O60" s="1218"/>
      <c r="P60" s="1218"/>
      <c r="Q60" s="1218"/>
      <c r="R60" s="1422"/>
    </row>
    <row r="61" spans="1:18" ht="15.75">
      <c r="B61" s="1435"/>
      <c r="C61" s="355" t="s">
        <v>16</v>
      </c>
      <c r="D61" s="356"/>
      <c r="E61" s="357">
        <f>+⑤基本情報入力!J55</f>
        <v>0</v>
      </c>
      <c r="F61" s="338" t="s">
        <v>13</v>
      </c>
      <c r="G61" s="79" t="s">
        <v>11</v>
      </c>
      <c r="H61" s="355" t="s">
        <v>668</v>
      </c>
      <c r="I61" s="85">
        <f>0.0796*K61^0.761*E61</f>
        <v>0</v>
      </c>
      <c r="J61" s="72" t="s">
        <v>124</v>
      </c>
      <c r="K61" s="146">
        <f>IFERROR(ROUNDUP('物質収支（既存）'!J84/24,0)/E61,0)</f>
        <v>0</v>
      </c>
      <c r="L61" s="339" t="s">
        <v>298</v>
      </c>
      <c r="M61" s="1217" t="s">
        <v>252</v>
      </c>
      <c r="N61" s="1218"/>
      <c r="O61" s="1218"/>
      <c r="P61" s="1218"/>
      <c r="Q61" s="1218"/>
      <c r="R61" s="1422"/>
    </row>
    <row r="62" spans="1:18" ht="15.75">
      <c r="B62" s="1435"/>
      <c r="C62" s="355" t="s">
        <v>10</v>
      </c>
      <c r="D62" s="356"/>
      <c r="E62" s="357">
        <f>+⑤基本情報入力!J56</f>
        <v>0</v>
      </c>
      <c r="F62" s="338" t="s">
        <v>17</v>
      </c>
      <c r="G62" s="79" t="s">
        <v>11</v>
      </c>
      <c r="H62" s="72" t="s">
        <v>140</v>
      </c>
      <c r="I62" s="85">
        <f>0.362*K62^0.585*E62</f>
        <v>0</v>
      </c>
      <c r="J62" s="72" t="s">
        <v>124</v>
      </c>
      <c r="K62" s="222">
        <f>IFERROR('物質収支（既存）'!J41*365/E62,0)</f>
        <v>0</v>
      </c>
      <c r="L62" s="339" t="s">
        <v>562</v>
      </c>
      <c r="M62" s="1217" t="s">
        <v>268</v>
      </c>
      <c r="N62" s="1218"/>
      <c r="O62" s="1218"/>
      <c r="P62" s="1218"/>
      <c r="Q62" s="1218"/>
      <c r="R62" s="1422"/>
    </row>
    <row r="63" spans="1:18" ht="16.5" thickBot="1">
      <c r="B63" s="1435"/>
      <c r="C63" s="344" t="s">
        <v>310</v>
      </c>
      <c r="D63" s="343"/>
      <c r="E63" s="116">
        <f>+⑤基本情報入力!J57</f>
        <v>0</v>
      </c>
      <c r="F63" s="344" t="s">
        <v>264</v>
      </c>
      <c r="G63" s="87" t="s">
        <v>11</v>
      </c>
      <c r="H63" s="88" t="s">
        <v>670</v>
      </c>
      <c r="I63" s="272">
        <f>0.287*K63^0.673*E63</f>
        <v>0</v>
      </c>
      <c r="J63" s="88" t="s">
        <v>124</v>
      </c>
      <c r="K63" s="224">
        <f>IFERROR('物質収支（既存）'!J41*365/E63,0)</f>
        <v>0</v>
      </c>
      <c r="L63" s="343" t="s">
        <v>562</v>
      </c>
      <c r="M63" s="1437" t="s">
        <v>563</v>
      </c>
      <c r="N63" s="1438"/>
      <c r="O63" s="1438"/>
      <c r="P63" s="1438"/>
      <c r="Q63" s="1438"/>
      <c r="R63" s="1439"/>
    </row>
    <row r="64" spans="1:18" ht="14.25" thickTop="1">
      <c r="B64" s="1436"/>
      <c r="C64" s="1434" t="s">
        <v>259</v>
      </c>
      <c r="D64" s="1434"/>
      <c r="E64" s="1434"/>
      <c r="F64" s="1434"/>
      <c r="G64" s="1434"/>
      <c r="H64" s="1434"/>
      <c r="I64" s="109">
        <f>SUM(I56:I63)</f>
        <v>0</v>
      </c>
      <c r="J64" s="142" t="s">
        <v>124</v>
      </c>
      <c r="K64" s="95"/>
      <c r="L64" s="101"/>
      <c r="M64" s="1431"/>
      <c r="N64" s="1431"/>
      <c r="O64" s="1431"/>
      <c r="P64" s="1431"/>
      <c r="Q64" s="1431"/>
      <c r="R64" s="1431"/>
    </row>
    <row r="65" spans="1:18">
      <c r="J65" s="115"/>
    </row>
    <row r="67" spans="1:18">
      <c r="A67" s="148" t="str">
        <f>+⑤基本情報入力!O51</f>
        <v>③</v>
      </c>
      <c r="B67" s="58">
        <f>+⑤基本情報入力!O52</f>
        <v>0</v>
      </c>
    </row>
    <row r="68" spans="1:18">
      <c r="B68" s="354" t="s">
        <v>230</v>
      </c>
      <c r="C68" s="337" t="s">
        <v>231</v>
      </c>
      <c r="D68" s="337" t="s">
        <v>232</v>
      </c>
      <c r="E68" s="337" t="s">
        <v>233</v>
      </c>
      <c r="F68" s="337" t="s">
        <v>23</v>
      </c>
      <c r="G68" s="1415" t="s">
        <v>235</v>
      </c>
      <c r="H68" s="1415"/>
      <c r="I68" s="1415" t="s">
        <v>236</v>
      </c>
      <c r="J68" s="1415"/>
      <c r="K68" s="1415" t="s">
        <v>237</v>
      </c>
      <c r="L68" s="1415"/>
      <c r="M68" s="1416" t="s">
        <v>291</v>
      </c>
      <c r="N68" s="1416"/>
      <c r="O68" s="77" t="s">
        <v>238</v>
      </c>
      <c r="P68" s="77" t="s">
        <v>239</v>
      </c>
      <c r="Q68" s="77" t="s">
        <v>240</v>
      </c>
      <c r="R68" s="337" t="s">
        <v>97</v>
      </c>
    </row>
    <row r="69" spans="1:18" ht="15.75">
      <c r="B69" s="1417"/>
      <c r="C69" s="1419" t="s">
        <v>241</v>
      </c>
      <c r="D69" s="1221" t="s">
        <v>242</v>
      </c>
      <c r="E69" s="357">
        <f>+⑤基本情報入力!O53</f>
        <v>0</v>
      </c>
      <c r="F69" s="78" t="s">
        <v>3</v>
      </c>
      <c r="G69" s="79" t="s">
        <v>11</v>
      </c>
      <c r="H69" s="79" t="s">
        <v>653</v>
      </c>
      <c r="I69" s="80">
        <f>K69*(1-O69)*(P69+P69/((P69+1)^Q69-1))</f>
        <v>0</v>
      </c>
      <c r="J69" s="72" t="s">
        <v>124</v>
      </c>
      <c r="K69" s="70">
        <f>1.31*M69^0.611*E69</f>
        <v>0</v>
      </c>
      <c r="L69" s="79" t="s">
        <v>120</v>
      </c>
      <c r="M69" s="80">
        <f>IFERROR('計算条件（既存）'!H19/E69,0)</f>
        <v>0</v>
      </c>
      <c r="N69" s="1221" t="s">
        <v>243</v>
      </c>
      <c r="O69" s="81">
        <f>+⑤基本情報入力!$Y$61</f>
        <v>0.1</v>
      </c>
      <c r="P69" s="82">
        <f>+⑤基本情報入力!$AB$61</f>
        <v>2.3E-2</v>
      </c>
      <c r="Q69" s="83">
        <f>+⑤基本情報入力!$AE$61</f>
        <v>20</v>
      </c>
      <c r="R69" s="72" t="s">
        <v>244</v>
      </c>
    </row>
    <row r="70" spans="1:18" ht="15.75">
      <c r="B70" s="1417"/>
      <c r="C70" s="1419"/>
      <c r="D70" s="1221"/>
      <c r="E70" s="359">
        <v>0</v>
      </c>
      <c r="F70" s="78" t="s">
        <v>8</v>
      </c>
      <c r="G70" s="79" t="s">
        <v>11</v>
      </c>
      <c r="H70" s="79" t="s">
        <v>654</v>
      </c>
      <c r="I70" s="80">
        <f>K70*(1-O70)*(P70+P70/((P70+1)^Q70-1))</f>
        <v>0</v>
      </c>
      <c r="J70" s="72" t="s">
        <v>124</v>
      </c>
      <c r="K70" s="70">
        <f>1.24*M70^0.598*E70</f>
        <v>0</v>
      </c>
      <c r="L70" s="79" t="s">
        <v>120</v>
      </c>
      <c r="M70" s="80">
        <f>+M69</f>
        <v>0</v>
      </c>
      <c r="N70" s="1221"/>
      <c r="O70" s="81">
        <f>+⑤基本情報入力!$Y$63</f>
        <v>0.1</v>
      </c>
      <c r="P70" s="84">
        <f>+⑤基本情報入力!$AB$63</f>
        <v>2.3E-2</v>
      </c>
      <c r="Q70" s="83">
        <f>+⑤基本情報入力!$AE$63</f>
        <v>40</v>
      </c>
      <c r="R70" s="72" t="s">
        <v>244</v>
      </c>
    </row>
    <row r="71" spans="1:18" ht="15.75">
      <c r="B71" s="1417"/>
      <c r="C71" s="1419" t="s">
        <v>22</v>
      </c>
      <c r="D71" s="1221"/>
      <c r="E71" s="357">
        <f>+⑤基本情報入力!O54</f>
        <v>0</v>
      </c>
      <c r="F71" s="78" t="s">
        <v>3</v>
      </c>
      <c r="G71" s="79" t="s">
        <v>11</v>
      </c>
      <c r="H71" s="79" t="s">
        <v>655</v>
      </c>
      <c r="I71" s="80">
        <f>K71*(1-O71)*(P71+P71/((P71+1)^Q71-1))</f>
        <v>0</v>
      </c>
      <c r="J71" s="72" t="s">
        <v>124</v>
      </c>
      <c r="K71" s="70">
        <f>22.7*M71^0.444*E71</f>
        <v>0</v>
      </c>
      <c r="L71" s="79" t="s">
        <v>120</v>
      </c>
      <c r="M71" s="80">
        <f>IFERROR('計算条件（既存）'!H19/E71,0)</f>
        <v>0</v>
      </c>
      <c r="N71" s="1221" t="s">
        <v>243</v>
      </c>
      <c r="O71" s="81">
        <f>+⑤基本情報入力!$Y$61</f>
        <v>0.1</v>
      </c>
      <c r="P71" s="82">
        <f>+⑤基本情報入力!$AB$61</f>
        <v>2.3E-2</v>
      </c>
      <c r="Q71" s="83">
        <f>+⑤基本情報入力!$AE$61</f>
        <v>20</v>
      </c>
      <c r="R71" s="72" t="s">
        <v>244</v>
      </c>
    </row>
    <row r="72" spans="1:18" ht="15.75">
      <c r="B72" s="1417"/>
      <c r="C72" s="1419"/>
      <c r="D72" s="1221"/>
      <c r="E72" s="359">
        <v>0</v>
      </c>
      <c r="F72" s="78" t="s">
        <v>8</v>
      </c>
      <c r="G72" s="79" t="s">
        <v>11</v>
      </c>
      <c r="H72" s="79" t="s">
        <v>656</v>
      </c>
      <c r="I72" s="80">
        <f>K72*(1-O72)*(P72+P72/((P72+1)^Q72-1))</f>
        <v>0</v>
      </c>
      <c r="J72" s="72" t="s">
        <v>124</v>
      </c>
      <c r="K72" s="70">
        <f>43.4*M72^0.373*E72</f>
        <v>0</v>
      </c>
      <c r="L72" s="79" t="s">
        <v>120</v>
      </c>
      <c r="M72" s="80">
        <f>+M71</f>
        <v>0</v>
      </c>
      <c r="N72" s="1221"/>
      <c r="O72" s="81">
        <f>+⑤基本情報入力!$Y$63</f>
        <v>0.1</v>
      </c>
      <c r="P72" s="84">
        <f>+⑤基本情報入力!$AB$63</f>
        <v>2.3E-2</v>
      </c>
      <c r="Q72" s="83">
        <f>+⑤基本情報入力!$AE$63</f>
        <v>40</v>
      </c>
      <c r="R72" s="72" t="s">
        <v>244</v>
      </c>
    </row>
    <row r="73" spans="1:18" ht="15.75">
      <c r="B73" s="1417"/>
      <c r="C73" s="338" t="s">
        <v>246</v>
      </c>
      <c r="D73" s="72"/>
      <c r="E73" s="357">
        <f>+⑤基本情報入力!O53</f>
        <v>0</v>
      </c>
      <c r="F73" s="338" t="s">
        <v>4</v>
      </c>
      <c r="G73" s="79" t="s">
        <v>11</v>
      </c>
      <c r="H73" s="72" t="s">
        <v>657</v>
      </c>
      <c r="I73" s="80">
        <f>K73*(1-O73)*(P73+P73/((P73+1)^Q73-1))</f>
        <v>0</v>
      </c>
      <c r="J73" s="72" t="s">
        <v>124</v>
      </c>
      <c r="K73" s="69">
        <f>17.8*M73^0.464*E73</f>
        <v>0</v>
      </c>
      <c r="L73" s="72" t="s">
        <v>120</v>
      </c>
      <c r="M73" s="80">
        <f>IFERROR('計算条件（既存）'!H19/E73,0)</f>
        <v>0</v>
      </c>
      <c r="N73" s="339" t="s">
        <v>243</v>
      </c>
      <c r="O73" s="81">
        <f>+⑤基本情報入力!$Y$62</f>
        <v>0.1</v>
      </c>
      <c r="P73" s="84">
        <f>+⑤基本情報入力!$AB$62</f>
        <v>2.3E-2</v>
      </c>
      <c r="Q73" s="83">
        <f>+⑤基本情報入力!$AE$62</f>
        <v>15</v>
      </c>
      <c r="R73" s="72" t="s">
        <v>247</v>
      </c>
    </row>
    <row r="74" spans="1:18" ht="15.75">
      <c r="B74" s="1417"/>
      <c r="C74" s="1407" t="s">
        <v>18</v>
      </c>
      <c r="D74" s="1408" t="s">
        <v>249</v>
      </c>
      <c r="E74" s="357">
        <f>+⑤基本情報入力!O55</f>
        <v>0</v>
      </c>
      <c r="F74" s="338" t="s">
        <v>3</v>
      </c>
      <c r="G74" s="79" t="s">
        <v>11</v>
      </c>
      <c r="H74" s="72" t="s">
        <v>134</v>
      </c>
      <c r="I74" s="80">
        <f t="shared" ref="I74:I83" si="2">K74*(1-O74)*(P74+P74/((P74+1)^Q74-1))</f>
        <v>0</v>
      </c>
      <c r="J74" s="72" t="s">
        <v>124</v>
      </c>
      <c r="K74" s="69">
        <f>124*(M74/500)^0.6*E74</f>
        <v>0</v>
      </c>
      <c r="L74" s="72" t="s">
        <v>120</v>
      </c>
      <c r="M74" s="146">
        <f>IFERROR(ROUNDUP('物質収支（既存）'!K10*25,-1)/E74,0)</f>
        <v>0</v>
      </c>
      <c r="N74" s="339" t="s">
        <v>1</v>
      </c>
      <c r="O74" s="81">
        <f>+⑤基本情報入力!$Y$61</f>
        <v>0.1</v>
      </c>
      <c r="P74" s="82">
        <f>+⑤基本情報入力!$AB$61</f>
        <v>2.3E-2</v>
      </c>
      <c r="Q74" s="83">
        <f>+⑤基本情報入力!$AE$61</f>
        <v>20</v>
      </c>
      <c r="R74" s="72" t="s">
        <v>561</v>
      </c>
    </row>
    <row r="75" spans="1:18" ht="15.75">
      <c r="B75" s="1417"/>
      <c r="C75" s="1407"/>
      <c r="D75" s="1408"/>
      <c r="E75" s="359">
        <v>0</v>
      </c>
      <c r="F75" s="338" t="s">
        <v>8</v>
      </c>
      <c r="G75" s="79" t="s">
        <v>11</v>
      </c>
      <c r="H75" s="72" t="s">
        <v>135</v>
      </c>
      <c r="I75" s="80">
        <f t="shared" si="2"/>
        <v>0</v>
      </c>
      <c r="J75" s="72" t="s">
        <v>124</v>
      </c>
      <c r="K75" s="69">
        <f>44.1*(M75/500)^0.6*E75</f>
        <v>0</v>
      </c>
      <c r="L75" s="72" t="s">
        <v>120</v>
      </c>
      <c r="M75" s="146">
        <f>+M74</f>
        <v>0</v>
      </c>
      <c r="N75" s="339" t="s">
        <v>1</v>
      </c>
      <c r="O75" s="81">
        <f>+⑤基本情報入力!$Y$63</f>
        <v>0.1</v>
      </c>
      <c r="P75" s="84">
        <f>+⑤基本情報入力!$AB$63</f>
        <v>2.3E-2</v>
      </c>
      <c r="Q75" s="83">
        <f>+⑤基本情報入力!$AE$63</f>
        <v>40</v>
      </c>
      <c r="R75" s="86"/>
    </row>
    <row r="76" spans="1:18" ht="15.75">
      <c r="B76" s="1417"/>
      <c r="C76" s="338" t="s">
        <v>9</v>
      </c>
      <c r="D76" s="72"/>
      <c r="E76" s="357">
        <f>+⑤基本情報入力!O55</f>
        <v>0</v>
      </c>
      <c r="F76" s="338" t="s">
        <v>3</v>
      </c>
      <c r="G76" s="79" t="s">
        <v>11</v>
      </c>
      <c r="H76" s="72" t="s">
        <v>660</v>
      </c>
      <c r="I76" s="80">
        <f t="shared" si="2"/>
        <v>0</v>
      </c>
      <c r="J76" s="72" t="s">
        <v>124</v>
      </c>
      <c r="K76" s="69">
        <f>10.4*M76^0.437*E76</f>
        <v>0</v>
      </c>
      <c r="L76" s="72" t="s">
        <v>120</v>
      </c>
      <c r="M76" s="146">
        <f>IFERROR(ROUNDUP('物質収支（既存）'!K84/2,-1)/E76,0)</f>
        <v>0</v>
      </c>
      <c r="N76" s="339" t="s">
        <v>1</v>
      </c>
      <c r="O76" s="81">
        <f>+⑤基本情報入力!$Y$61</f>
        <v>0.1</v>
      </c>
      <c r="P76" s="82">
        <f>+⑤基本情報入力!$AB$61</f>
        <v>2.3E-2</v>
      </c>
      <c r="Q76" s="83">
        <f>+⑤基本情報入力!$AE$61</f>
        <v>20</v>
      </c>
      <c r="R76" s="74" t="s">
        <v>251</v>
      </c>
    </row>
    <row r="77" spans="1:18" ht="15.75">
      <c r="B77" s="1417"/>
      <c r="C77" s="338" t="s">
        <v>16</v>
      </c>
      <c r="D77" s="72"/>
      <c r="E77" s="357">
        <f>+⑤基本情報入力!O55</f>
        <v>0</v>
      </c>
      <c r="F77" s="338" t="s">
        <v>3</v>
      </c>
      <c r="G77" s="79" t="s">
        <v>11</v>
      </c>
      <c r="H77" s="72" t="s">
        <v>661</v>
      </c>
      <c r="I77" s="80">
        <f t="shared" si="2"/>
        <v>0</v>
      </c>
      <c r="J77" s="72" t="s">
        <v>124</v>
      </c>
      <c r="K77" s="69">
        <f>0.878*M77^0.761*E77</f>
        <v>0</v>
      </c>
      <c r="L77" s="72" t="s">
        <v>120</v>
      </c>
      <c r="M77" s="146">
        <f>IFERROR(ROUNDUP('物質収支（既存）'!K84/24,0)/E77,0)</f>
        <v>0</v>
      </c>
      <c r="N77" s="339" t="s">
        <v>298</v>
      </c>
      <c r="O77" s="81">
        <f>+⑤基本情報入力!$Y$61</f>
        <v>0.1</v>
      </c>
      <c r="P77" s="82">
        <f>+⑤基本情報入力!$AB$61</f>
        <v>2.3E-2</v>
      </c>
      <c r="Q77" s="83">
        <f>+⑤基本情報入力!$AE$61</f>
        <v>20</v>
      </c>
      <c r="R77" s="74" t="s">
        <v>252</v>
      </c>
    </row>
    <row r="78" spans="1:18" ht="15.75">
      <c r="A78" s="58"/>
      <c r="B78" s="1417"/>
      <c r="C78" s="1409" t="s">
        <v>10</v>
      </c>
      <c r="D78" s="1412"/>
      <c r="E78" s="357">
        <f>+⑤基本情報入力!O56</f>
        <v>0</v>
      </c>
      <c r="F78" s="338" t="s">
        <v>3</v>
      </c>
      <c r="G78" s="79" t="s">
        <v>11</v>
      </c>
      <c r="H78" s="72" t="s">
        <v>297</v>
      </c>
      <c r="I78" s="80">
        <f t="shared" si="2"/>
        <v>0</v>
      </c>
      <c r="J78" s="72" t="s">
        <v>124</v>
      </c>
      <c r="K78" s="69">
        <f>31.9*M78^0.971*E78</f>
        <v>0</v>
      </c>
      <c r="L78" s="72" t="s">
        <v>120</v>
      </c>
      <c r="M78" s="222">
        <f>IFERROR('物質収支（既存）'!K41/E78,0)</f>
        <v>0</v>
      </c>
      <c r="N78" s="339" t="s">
        <v>0</v>
      </c>
      <c r="O78" s="81">
        <f>+⑤基本情報入力!$Y$61</f>
        <v>0.1</v>
      </c>
      <c r="P78" s="82">
        <f>+⑤基本情報入力!$AB$61</f>
        <v>2.3E-2</v>
      </c>
      <c r="Q78" s="83">
        <f>+⑤基本情報入力!$AE$61</f>
        <v>20</v>
      </c>
      <c r="R78" s="72" t="s">
        <v>253</v>
      </c>
    </row>
    <row r="79" spans="1:18" ht="15.75" customHeight="1">
      <c r="A79" s="58"/>
      <c r="B79" s="1417"/>
      <c r="C79" s="1410"/>
      <c r="D79" s="1413"/>
      <c r="E79" s="357">
        <f>+⑤基本情報入力!O56</f>
        <v>0</v>
      </c>
      <c r="F79" s="338" t="s">
        <v>4</v>
      </c>
      <c r="G79" s="79" t="s">
        <v>11</v>
      </c>
      <c r="H79" s="72" t="s">
        <v>136</v>
      </c>
      <c r="I79" s="80">
        <f t="shared" si="2"/>
        <v>0</v>
      </c>
      <c r="J79" s="72" t="s">
        <v>124</v>
      </c>
      <c r="K79" s="69">
        <f>6.59*M79^0.809*E79</f>
        <v>0</v>
      </c>
      <c r="L79" s="72" t="s">
        <v>120</v>
      </c>
      <c r="M79" s="222">
        <f>+M78</f>
        <v>0</v>
      </c>
      <c r="N79" s="339" t="s">
        <v>0</v>
      </c>
      <c r="O79" s="81">
        <f>+⑤基本情報入力!$Y$62</f>
        <v>0.1</v>
      </c>
      <c r="P79" s="84">
        <f>+⑤基本情報入力!$AB$62</f>
        <v>2.3E-2</v>
      </c>
      <c r="Q79" s="83">
        <f>+⑤基本情報入力!$AE$62</f>
        <v>15</v>
      </c>
      <c r="R79" s="72"/>
    </row>
    <row r="80" spans="1:18" ht="15.75">
      <c r="A80" s="58"/>
      <c r="B80" s="1417"/>
      <c r="C80" s="1411"/>
      <c r="D80" s="1414"/>
      <c r="E80" s="359">
        <v>0</v>
      </c>
      <c r="F80" s="338" t="s">
        <v>5</v>
      </c>
      <c r="G80" s="79" t="s">
        <v>11</v>
      </c>
      <c r="H80" s="72" t="s">
        <v>137</v>
      </c>
      <c r="I80" s="80">
        <f t="shared" si="2"/>
        <v>0</v>
      </c>
      <c r="J80" s="72" t="s">
        <v>124</v>
      </c>
      <c r="K80" s="69">
        <f>12.3*M80^0.941*E80</f>
        <v>0</v>
      </c>
      <c r="L80" s="72" t="s">
        <v>120</v>
      </c>
      <c r="M80" s="222">
        <f>+M78</f>
        <v>0</v>
      </c>
      <c r="N80" s="339" t="s">
        <v>0</v>
      </c>
      <c r="O80" s="81">
        <f>+⑤基本情報入力!$Y$63</f>
        <v>0.1</v>
      </c>
      <c r="P80" s="84">
        <f>+⑤基本情報入力!$AB$63</f>
        <v>2.3E-2</v>
      </c>
      <c r="Q80" s="83">
        <f>+⑤基本情報入力!$AE$63</f>
        <v>40</v>
      </c>
      <c r="R80" s="72"/>
    </row>
    <row r="81" spans="1:18" ht="15.75">
      <c r="A81" s="58"/>
      <c r="B81" s="1417"/>
      <c r="C81" s="1423" t="s">
        <v>310</v>
      </c>
      <c r="D81" s="1347"/>
      <c r="E81" s="357">
        <f>+⑤基本情報入力!O57</f>
        <v>0</v>
      </c>
      <c r="F81" s="338" t="s">
        <v>3</v>
      </c>
      <c r="G81" s="144" t="s">
        <v>11</v>
      </c>
      <c r="H81" s="72" t="s">
        <v>664</v>
      </c>
      <c r="I81" s="94">
        <f t="shared" si="2"/>
        <v>0</v>
      </c>
      <c r="J81" s="97" t="s">
        <v>124</v>
      </c>
      <c r="K81" s="69">
        <f>188.8*M81^0.597*E81</f>
        <v>0</v>
      </c>
      <c r="L81" s="97" t="s">
        <v>120</v>
      </c>
      <c r="M81" s="222">
        <f>IFERROR('物質収支（既存）'!K41/E81,0)</f>
        <v>0</v>
      </c>
      <c r="N81" s="341" t="s">
        <v>0</v>
      </c>
      <c r="O81" s="81">
        <f>+⑤基本情報入力!$Y$61</f>
        <v>0.1</v>
      </c>
      <c r="P81" s="82">
        <f>+⑤基本情報入力!$AB$61</f>
        <v>2.3E-2</v>
      </c>
      <c r="Q81" s="83">
        <f>+⑤基本情報入力!$AE$61</f>
        <v>20</v>
      </c>
      <c r="R81" s="72" t="s">
        <v>316</v>
      </c>
    </row>
    <row r="82" spans="1:18" ht="15.75">
      <c r="A82" s="58"/>
      <c r="B82" s="1417"/>
      <c r="C82" s="1424"/>
      <c r="D82" s="1348"/>
      <c r="E82" s="357">
        <f>+⑤基本情報入力!O57</f>
        <v>0</v>
      </c>
      <c r="F82" s="338" t="s">
        <v>4</v>
      </c>
      <c r="G82" s="144" t="s">
        <v>11</v>
      </c>
      <c r="H82" s="72" t="s">
        <v>665</v>
      </c>
      <c r="I82" s="94">
        <f t="shared" si="2"/>
        <v>0</v>
      </c>
      <c r="J82" s="97" t="s">
        <v>124</v>
      </c>
      <c r="K82" s="69">
        <f>72.6*M82^0.539*E82</f>
        <v>0</v>
      </c>
      <c r="L82" s="97" t="s">
        <v>120</v>
      </c>
      <c r="M82" s="222">
        <f>+M81</f>
        <v>0</v>
      </c>
      <c r="N82" s="341" t="s">
        <v>0</v>
      </c>
      <c r="O82" s="81">
        <f>+⑤基本情報入力!$Y$62</f>
        <v>0.1</v>
      </c>
      <c r="P82" s="84">
        <f>+⑤基本情報入力!$AB$62</f>
        <v>2.3E-2</v>
      </c>
      <c r="Q82" s="83">
        <f>+⑤基本情報入力!$AE$62</f>
        <v>15</v>
      </c>
      <c r="R82" s="72"/>
    </row>
    <row r="83" spans="1:18" ht="16.5" thickBot="1">
      <c r="A83" s="58"/>
      <c r="B83" s="1417"/>
      <c r="C83" s="1425"/>
      <c r="D83" s="1426"/>
      <c r="E83" s="116">
        <v>0</v>
      </c>
      <c r="F83" s="344" t="s">
        <v>8</v>
      </c>
      <c r="G83" s="87" t="s">
        <v>11</v>
      </c>
      <c r="H83" s="88" t="s">
        <v>666</v>
      </c>
      <c r="I83" s="89">
        <f t="shared" si="2"/>
        <v>0</v>
      </c>
      <c r="J83" s="88" t="s">
        <v>124</v>
      </c>
      <c r="K83" s="90">
        <f>136.1*M83^0.38*E83</f>
        <v>0</v>
      </c>
      <c r="L83" s="88" t="s">
        <v>120</v>
      </c>
      <c r="M83" s="224">
        <f>+M81</f>
        <v>0</v>
      </c>
      <c r="N83" s="343" t="s">
        <v>0</v>
      </c>
      <c r="O83" s="91">
        <f>+⑤基本情報入力!$Y$63</f>
        <v>0.1</v>
      </c>
      <c r="P83" s="92">
        <f>+⑤基本情報入力!$AB$63</f>
        <v>2.3E-2</v>
      </c>
      <c r="Q83" s="93">
        <f>+⑤基本情報入力!$AE$63</f>
        <v>40</v>
      </c>
      <c r="R83" s="88"/>
    </row>
    <row r="84" spans="1:18" ht="14.25" thickTop="1">
      <c r="B84" s="1418"/>
      <c r="C84" s="1434" t="s">
        <v>259</v>
      </c>
      <c r="D84" s="1434"/>
      <c r="E84" s="1434"/>
      <c r="F84" s="1434"/>
      <c r="G84" s="1434"/>
      <c r="H84" s="1434"/>
      <c r="I84" s="109">
        <f>SUM(I69:I83)</f>
        <v>0</v>
      </c>
      <c r="J84" s="112" t="s">
        <v>124</v>
      </c>
      <c r="K84" s="111">
        <f>SUM(K69:K83)</f>
        <v>0</v>
      </c>
      <c r="L84" s="112" t="s">
        <v>120</v>
      </c>
      <c r="M84" s="113"/>
      <c r="N84" s="336"/>
      <c r="O84" s="99"/>
      <c r="P84" s="100"/>
      <c r="Q84" s="101"/>
      <c r="R84" s="101"/>
    </row>
    <row r="85" spans="1:18">
      <c r="B85" s="335" t="s">
        <v>260</v>
      </c>
      <c r="C85" s="334" t="s">
        <v>231</v>
      </c>
      <c r="D85" s="334" t="s">
        <v>232</v>
      </c>
      <c r="E85" s="334" t="s">
        <v>233</v>
      </c>
      <c r="F85" s="334" t="s">
        <v>273</v>
      </c>
      <c r="G85" s="1432" t="s">
        <v>235</v>
      </c>
      <c r="H85" s="1432"/>
      <c r="I85" s="1432" t="s">
        <v>237</v>
      </c>
      <c r="J85" s="1432"/>
      <c r="K85" s="1433" t="s">
        <v>291</v>
      </c>
      <c r="L85" s="1433"/>
      <c r="M85" s="1432" t="s">
        <v>97</v>
      </c>
      <c r="N85" s="1432"/>
      <c r="O85" s="1432"/>
      <c r="P85" s="1432"/>
      <c r="Q85" s="1432"/>
      <c r="R85" s="1432"/>
    </row>
    <row r="86" spans="1:18" ht="15.75">
      <c r="B86" s="1435"/>
      <c r="C86" s="338" t="s">
        <v>241</v>
      </c>
      <c r="D86" s="339" t="s">
        <v>242</v>
      </c>
      <c r="E86" s="357">
        <f>+⑤基本情報入力!O53</f>
        <v>0</v>
      </c>
      <c r="F86" s="78" t="s">
        <v>262</v>
      </c>
      <c r="G86" s="79" t="s">
        <v>11</v>
      </c>
      <c r="H86" s="72" t="s">
        <v>658</v>
      </c>
      <c r="I86" s="80">
        <f>0.03*K86^0.628*E86</f>
        <v>0</v>
      </c>
      <c r="J86" s="72" t="s">
        <v>124</v>
      </c>
      <c r="K86" s="80">
        <f>IFERROR('計算条件（既存）'!G19/E86,0)</f>
        <v>0</v>
      </c>
      <c r="L86" s="339" t="s">
        <v>243</v>
      </c>
      <c r="M86" s="1217" t="s">
        <v>263</v>
      </c>
      <c r="N86" s="1218"/>
      <c r="O86" s="1218"/>
      <c r="P86" s="1218"/>
      <c r="Q86" s="1218"/>
      <c r="R86" s="1422"/>
    </row>
    <row r="87" spans="1:18" ht="15.75">
      <c r="B87" s="1435"/>
      <c r="C87" s="338" t="s">
        <v>22</v>
      </c>
      <c r="D87" s="339"/>
      <c r="E87" s="357">
        <f>+⑤基本情報入力!O54</f>
        <v>0</v>
      </c>
      <c r="F87" s="78" t="s">
        <v>308</v>
      </c>
      <c r="G87" s="79" t="s">
        <v>11</v>
      </c>
      <c r="H87" s="72" t="s">
        <v>142</v>
      </c>
      <c r="I87" s="80">
        <f>0.039*K87^0.596*E87</f>
        <v>0</v>
      </c>
      <c r="J87" s="72" t="s">
        <v>124</v>
      </c>
      <c r="K87" s="80">
        <f>IFERROR('計算条件（既存）'!G19*365/E87,0)</f>
        <v>0</v>
      </c>
      <c r="L87" s="339" t="s">
        <v>265</v>
      </c>
      <c r="M87" s="1217" t="s">
        <v>266</v>
      </c>
      <c r="N87" s="1218"/>
      <c r="O87" s="1218"/>
      <c r="P87" s="1218"/>
      <c r="Q87" s="1218"/>
      <c r="R87" s="1422"/>
    </row>
    <row r="88" spans="1:18" ht="15.75">
      <c r="B88" s="1435"/>
      <c r="C88" s="338" t="s">
        <v>246</v>
      </c>
      <c r="D88" s="72"/>
      <c r="E88" s="357">
        <f>+⑤基本情報入力!O53</f>
        <v>0</v>
      </c>
      <c r="F88" s="338" t="s">
        <v>267</v>
      </c>
      <c r="G88" s="79" t="s">
        <v>11</v>
      </c>
      <c r="H88" s="72" t="s">
        <v>141</v>
      </c>
      <c r="I88" s="80">
        <f>0.0024*K88^0.533*E88</f>
        <v>0</v>
      </c>
      <c r="J88" s="72" t="s">
        <v>124</v>
      </c>
      <c r="K88" s="80">
        <f>IFERROR('計算条件（既存）'!G19*365/E88,0)</f>
        <v>0</v>
      </c>
      <c r="L88" s="339" t="s">
        <v>265</v>
      </c>
      <c r="M88" s="1217" t="s">
        <v>266</v>
      </c>
      <c r="N88" s="1218"/>
      <c r="O88" s="1218"/>
      <c r="P88" s="1218"/>
      <c r="Q88" s="1218"/>
      <c r="R88" s="1422"/>
    </row>
    <row r="89" spans="1:18" ht="15.75">
      <c r="B89" s="1435"/>
      <c r="C89" s="355" t="s">
        <v>18</v>
      </c>
      <c r="D89" s="356" t="s">
        <v>249</v>
      </c>
      <c r="E89" s="357">
        <f>+⑤基本情報入力!O55</f>
        <v>0</v>
      </c>
      <c r="F89" s="338" t="s">
        <v>17</v>
      </c>
      <c r="G89" s="79" t="s">
        <v>11</v>
      </c>
      <c r="H89" s="72" t="s">
        <v>313</v>
      </c>
      <c r="I89" s="85">
        <f>0.171*(K89)^0.39*E89</f>
        <v>0</v>
      </c>
      <c r="J89" s="72" t="s">
        <v>124</v>
      </c>
      <c r="K89" s="146">
        <f>IFERROR('計算条件（既存）'!G19*365/E89,0)</f>
        <v>0</v>
      </c>
      <c r="L89" s="339" t="s">
        <v>265</v>
      </c>
      <c r="M89" s="1217" t="s">
        <v>266</v>
      </c>
      <c r="N89" s="1218"/>
      <c r="O89" s="1218"/>
      <c r="P89" s="1218"/>
      <c r="Q89" s="1218"/>
      <c r="R89" s="1422"/>
    </row>
    <row r="90" spans="1:18" ht="15.75">
      <c r="B90" s="1435"/>
      <c r="C90" s="355" t="s">
        <v>9</v>
      </c>
      <c r="D90" s="356"/>
      <c r="E90" s="357">
        <f>+⑤基本情報入力!O55</f>
        <v>0</v>
      </c>
      <c r="F90" s="338" t="s">
        <v>13</v>
      </c>
      <c r="G90" s="79" t="s">
        <v>11</v>
      </c>
      <c r="H90" s="355" t="s">
        <v>667</v>
      </c>
      <c r="I90" s="85">
        <f>0.283*K90^0.302*E90</f>
        <v>0</v>
      </c>
      <c r="J90" s="72" t="s">
        <v>124</v>
      </c>
      <c r="K90" s="146">
        <f>IFERROR(ROUNDUP('物質収支（既存）'!K84/2,-1)/E90,0)</f>
        <v>0</v>
      </c>
      <c r="L90" s="339" t="s">
        <v>1</v>
      </c>
      <c r="M90" s="1217" t="s">
        <v>251</v>
      </c>
      <c r="N90" s="1218"/>
      <c r="O90" s="1218"/>
      <c r="P90" s="1218"/>
      <c r="Q90" s="1218"/>
      <c r="R90" s="1422"/>
    </row>
    <row r="91" spans="1:18" ht="15.75">
      <c r="B91" s="1435"/>
      <c r="C91" s="355" t="s">
        <v>16</v>
      </c>
      <c r="D91" s="356"/>
      <c r="E91" s="357">
        <f>+⑤基本情報入力!O55</f>
        <v>0</v>
      </c>
      <c r="F91" s="338" t="s">
        <v>13</v>
      </c>
      <c r="G91" s="79" t="s">
        <v>11</v>
      </c>
      <c r="H91" s="355" t="s">
        <v>668</v>
      </c>
      <c r="I91" s="85">
        <f>0.0796*K91^0.761*E91</f>
        <v>0</v>
      </c>
      <c r="J91" s="72" t="s">
        <v>124</v>
      </c>
      <c r="K91" s="146">
        <f>IFERROR(ROUNDUP('物質収支（既存）'!K84/24,0)/E91,0)</f>
        <v>0</v>
      </c>
      <c r="L91" s="339" t="s">
        <v>298</v>
      </c>
      <c r="M91" s="1217" t="s">
        <v>252</v>
      </c>
      <c r="N91" s="1218"/>
      <c r="O91" s="1218"/>
      <c r="P91" s="1218"/>
      <c r="Q91" s="1218"/>
      <c r="R91" s="1422"/>
    </row>
    <row r="92" spans="1:18" ht="15.75">
      <c r="B92" s="1435"/>
      <c r="C92" s="355" t="s">
        <v>10</v>
      </c>
      <c r="D92" s="356"/>
      <c r="E92" s="357">
        <f>+⑤基本情報入力!O56</f>
        <v>0</v>
      </c>
      <c r="F92" s="338" t="s">
        <v>17</v>
      </c>
      <c r="G92" s="79" t="s">
        <v>11</v>
      </c>
      <c r="H92" s="72" t="s">
        <v>140</v>
      </c>
      <c r="I92" s="85">
        <f>0.362*K92^0.585*E92</f>
        <v>0</v>
      </c>
      <c r="J92" s="72" t="s">
        <v>124</v>
      </c>
      <c r="K92" s="222">
        <f>IFERROR('物質収支（既存）'!K41*365/E92,0)</f>
        <v>0</v>
      </c>
      <c r="L92" s="339" t="s">
        <v>562</v>
      </c>
      <c r="M92" s="1217" t="s">
        <v>268</v>
      </c>
      <c r="N92" s="1218"/>
      <c r="O92" s="1218"/>
      <c r="P92" s="1218"/>
      <c r="Q92" s="1218"/>
      <c r="R92" s="1422"/>
    </row>
    <row r="93" spans="1:18" ht="16.5" thickBot="1">
      <c r="B93" s="1435"/>
      <c r="C93" s="344" t="s">
        <v>310</v>
      </c>
      <c r="D93" s="343"/>
      <c r="E93" s="116">
        <f>+⑤基本情報入力!O57</f>
        <v>0</v>
      </c>
      <c r="F93" s="344" t="s">
        <v>264</v>
      </c>
      <c r="G93" s="87" t="s">
        <v>11</v>
      </c>
      <c r="H93" s="88" t="s">
        <v>670</v>
      </c>
      <c r="I93" s="272">
        <f>0.287*K93^0.673*E93</f>
        <v>0</v>
      </c>
      <c r="J93" s="88" t="s">
        <v>124</v>
      </c>
      <c r="K93" s="224">
        <f>IFERROR('物質収支（既存）'!K41*365/E93,0)</f>
        <v>0</v>
      </c>
      <c r="L93" s="343" t="s">
        <v>562</v>
      </c>
      <c r="M93" s="1437" t="s">
        <v>563</v>
      </c>
      <c r="N93" s="1438"/>
      <c r="O93" s="1438"/>
      <c r="P93" s="1438"/>
      <c r="Q93" s="1438"/>
      <c r="R93" s="1439"/>
    </row>
    <row r="94" spans="1:18" ht="14.25" thickTop="1">
      <c r="B94" s="1436"/>
      <c r="C94" s="1434" t="s">
        <v>259</v>
      </c>
      <c r="D94" s="1434"/>
      <c r="E94" s="1434"/>
      <c r="F94" s="1434"/>
      <c r="G94" s="1434"/>
      <c r="H94" s="1434"/>
      <c r="I94" s="109">
        <f>SUM(I86:I93)</f>
        <v>0</v>
      </c>
      <c r="J94" s="112" t="s">
        <v>124</v>
      </c>
      <c r="K94" s="118"/>
      <c r="L94" s="336"/>
      <c r="M94" s="1431"/>
      <c r="N94" s="1431"/>
      <c r="O94" s="1431"/>
      <c r="P94" s="1431"/>
      <c r="Q94" s="1431"/>
      <c r="R94" s="1431"/>
    </row>
    <row r="96" spans="1:18">
      <c r="B96" s="105"/>
      <c r="C96" s="287"/>
      <c r="D96" s="287"/>
      <c r="E96" s="287"/>
      <c r="F96" s="287"/>
      <c r="G96" s="287"/>
      <c r="H96" s="287"/>
    </row>
    <row r="97" spans="1:18">
      <c r="A97" s="148" t="str">
        <f>+⑤基本情報入力!T51</f>
        <v>④</v>
      </c>
      <c r="B97" s="105">
        <f>+⑤基本情報入力!T52</f>
        <v>0</v>
      </c>
      <c r="C97" s="287"/>
      <c r="D97" s="287"/>
      <c r="E97" s="287"/>
      <c r="F97" s="287"/>
      <c r="G97" s="287"/>
      <c r="H97" s="287"/>
    </row>
    <row r="98" spans="1:18">
      <c r="B98" s="354" t="s">
        <v>230</v>
      </c>
      <c r="C98" s="353" t="s">
        <v>231</v>
      </c>
      <c r="D98" s="354" t="s">
        <v>232</v>
      </c>
      <c r="E98" s="352" t="s">
        <v>233</v>
      </c>
      <c r="F98" s="354" t="s">
        <v>23</v>
      </c>
      <c r="G98" s="1440" t="s">
        <v>235</v>
      </c>
      <c r="H98" s="1441"/>
      <c r="I98" s="1415" t="s">
        <v>236</v>
      </c>
      <c r="J98" s="1415"/>
      <c r="K98" s="1442" t="s">
        <v>237</v>
      </c>
      <c r="L98" s="1442"/>
      <c r="M98" s="1443" t="s">
        <v>291</v>
      </c>
      <c r="N98" s="1443"/>
      <c r="O98" s="119" t="s">
        <v>238</v>
      </c>
      <c r="P98" s="119" t="s">
        <v>239</v>
      </c>
      <c r="Q98" s="119" t="s">
        <v>240</v>
      </c>
      <c r="R98" s="354" t="s">
        <v>97</v>
      </c>
    </row>
    <row r="99" spans="1:18" ht="15.75">
      <c r="B99" s="1417"/>
      <c r="C99" s="1419" t="s">
        <v>241</v>
      </c>
      <c r="D99" s="1221" t="s">
        <v>242</v>
      </c>
      <c r="E99" s="357">
        <f>+⑤基本情報入力!T53</f>
        <v>0</v>
      </c>
      <c r="F99" s="78" t="s">
        <v>3</v>
      </c>
      <c r="G99" s="79" t="s">
        <v>11</v>
      </c>
      <c r="H99" s="79" t="s">
        <v>653</v>
      </c>
      <c r="I99" s="80">
        <f>K99*(1-O99)*(P99+P99/((P99+1)^Q99-1))</f>
        <v>0</v>
      </c>
      <c r="J99" s="72" t="s">
        <v>124</v>
      </c>
      <c r="K99" s="70">
        <f>1.31*M99^0.611*E99</f>
        <v>0</v>
      </c>
      <c r="L99" s="79" t="s">
        <v>120</v>
      </c>
      <c r="M99" s="80">
        <f>IFERROR('計算条件（既存）'!H25/E99,0)</f>
        <v>0</v>
      </c>
      <c r="N99" s="1221" t="s">
        <v>243</v>
      </c>
      <c r="O99" s="81">
        <f>+⑤基本情報入力!$Y$61</f>
        <v>0.1</v>
      </c>
      <c r="P99" s="82">
        <f>+⑤基本情報入力!$AB$61</f>
        <v>2.3E-2</v>
      </c>
      <c r="Q99" s="83">
        <f>+⑤基本情報入力!$AE$61</f>
        <v>20</v>
      </c>
      <c r="R99" s="72" t="s">
        <v>244</v>
      </c>
    </row>
    <row r="100" spans="1:18" ht="15.75">
      <c r="B100" s="1417"/>
      <c r="C100" s="1419"/>
      <c r="D100" s="1221"/>
      <c r="E100" s="357">
        <v>0</v>
      </c>
      <c r="F100" s="78" t="s">
        <v>8</v>
      </c>
      <c r="G100" s="79" t="s">
        <v>11</v>
      </c>
      <c r="H100" s="79" t="s">
        <v>654</v>
      </c>
      <c r="I100" s="80">
        <f>K100*(1-O100)*(P100+P100/((P100+1)^Q100-1))</f>
        <v>0</v>
      </c>
      <c r="J100" s="72" t="s">
        <v>124</v>
      </c>
      <c r="K100" s="70">
        <f>1.24*M100^0.598*E100</f>
        <v>0</v>
      </c>
      <c r="L100" s="79" t="s">
        <v>120</v>
      </c>
      <c r="M100" s="80">
        <f>+M99</f>
        <v>0</v>
      </c>
      <c r="N100" s="1221"/>
      <c r="O100" s="81">
        <f>+⑤基本情報入力!$Y$63</f>
        <v>0.1</v>
      </c>
      <c r="P100" s="84">
        <f>+⑤基本情報入力!$AB$63</f>
        <v>2.3E-2</v>
      </c>
      <c r="Q100" s="83">
        <f>+⑤基本情報入力!$AE$63</f>
        <v>40</v>
      </c>
      <c r="R100" s="72" t="s">
        <v>244</v>
      </c>
    </row>
    <row r="101" spans="1:18" ht="15.75">
      <c r="B101" s="1417"/>
      <c r="C101" s="1419" t="s">
        <v>22</v>
      </c>
      <c r="D101" s="1221"/>
      <c r="E101" s="357">
        <f>+⑤基本情報入力!T54</f>
        <v>0</v>
      </c>
      <c r="F101" s="78" t="s">
        <v>3</v>
      </c>
      <c r="G101" s="79" t="s">
        <v>11</v>
      </c>
      <c r="H101" s="79" t="s">
        <v>655</v>
      </c>
      <c r="I101" s="80">
        <f>K101*(1-O101)*(P101+P101/((P101+1)^Q101-1))</f>
        <v>0</v>
      </c>
      <c r="J101" s="72" t="s">
        <v>124</v>
      </c>
      <c r="K101" s="70">
        <f>22.7*M101^0.444*E101</f>
        <v>0</v>
      </c>
      <c r="L101" s="79" t="s">
        <v>120</v>
      </c>
      <c r="M101" s="80">
        <f>IFERROR('計算条件（既存）'!H25/E101,0)</f>
        <v>0</v>
      </c>
      <c r="N101" s="1221" t="s">
        <v>243</v>
      </c>
      <c r="O101" s="81">
        <f>+⑤基本情報入力!$Y$61</f>
        <v>0.1</v>
      </c>
      <c r="P101" s="82">
        <f>+⑤基本情報入力!$AB$61</f>
        <v>2.3E-2</v>
      </c>
      <c r="Q101" s="83">
        <f>+⑤基本情報入力!$AE$61</f>
        <v>20</v>
      </c>
      <c r="R101" s="72" t="s">
        <v>244</v>
      </c>
    </row>
    <row r="102" spans="1:18" ht="15.75">
      <c r="B102" s="1417"/>
      <c r="C102" s="1419"/>
      <c r="D102" s="1221"/>
      <c r="E102" s="357">
        <v>0</v>
      </c>
      <c r="F102" s="78" t="s">
        <v>8</v>
      </c>
      <c r="G102" s="79" t="s">
        <v>11</v>
      </c>
      <c r="H102" s="79" t="s">
        <v>656</v>
      </c>
      <c r="I102" s="80">
        <f>K102*(1-O102)*(P102+P102/((P102+1)^Q102-1))</f>
        <v>0</v>
      </c>
      <c r="J102" s="72" t="s">
        <v>124</v>
      </c>
      <c r="K102" s="70">
        <f>43.4*M102^0.373*E102</f>
        <v>0</v>
      </c>
      <c r="L102" s="79" t="s">
        <v>120</v>
      </c>
      <c r="M102" s="80">
        <f>+M101</f>
        <v>0</v>
      </c>
      <c r="N102" s="1221"/>
      <c r="O102" s="81">
        <f>+⑤基本情報入力!$Y$63</f>
        <v>0.1</v>
      </c>
      <c r="P102" s="84">
        <f>+⑤基本情報入力!$AB$63</f>
        <v>2.3E-2</v>
      </c>
      <c r="Q102" s="83">
        <f>+⑤基本情報入力!$AE$63</f>
        <v>40</v>
      </c>
      <c r="R102" s="72" t="s">
        <v>244</v>
      </c>
    </row>
    <row r="103" spans="1:18" ht="15.75">
      <c r="B103" s="1417"/>
      <c r="C103" s="338" t="s">
        <v>246</v>
      </c>
      <c r="D103" s="72"/>
      <c r="E103" s="357">
        <f>+⑤基本情報入力!T53</f>
        <v>0</v>
      </c>
      <c r="F103" s="338" t="s">
        <v>4</v>
      </c>
      <c r="G103" s="79" t="s">
        <v>11</v>
      </c>
      <c r="H103" s="72" t="s">
        <v>657</v>
      </c>
      <c r="I103" s="80">
        <f>K103*(1-O103)*(P103+P103/((P103+1)^Q103-1))</f>
        <v>0</v>
      </c>
      <c r="J103" s="72" t="s">
        <v>124</v>
      </c>
      <c r="K103" s="69">
        <f>17.8*M103^0.464*E103</f>
        <v>0</v>
      </c>
      <c r="L103" s="72" t="s">
        <v>120</v>
      </c>
      <c r="M103" s="80">
        <f>IFERROR('計算条件（既存）'!H25/E103,0)</f>
        <v>0</v>
      </c>
      <c r="N103" s="339" t="s">
        <v>243</v>
      </c>
      <c r="O103" s="81">
        <f>+⑤基本情報入力!$Y$62</f>
        <v>0.1</v>
      </c>
      <c r="P103" s="84">
        <f>+⑤基本情報入力!$AB$62</f>
        <v>2.3E-2</v>
      </c>
      <c r="Q103" s="83">
        <f>+⑤基本情報入力!$AE$62</f>
        <v>15</v>
      </c>
      <c r="R103" s="72" t="s">
        <v>247</v>
      </c>
    </row>
    <row r="104" spans="1:18" ht="15.75">
      <c r="B104" s="1417"/>
      <c r="C104" s="1407" t="s">
        <v>18</v>
      </c>
      <c r="D104" s="1408" t="s">
        <v>249</v>
      </c>
      <c r="E104" s="357">
        <f>+⑤基本情報入力!T55</f>
        <v>0</v>
      </c>
      <c r="F104" s="338" t="s">
        <v>3</v>
      </c>
      <c r="G104" s="79" t="s">
        <v>11</v>
      </c>
      <c r="H104" s="72" t="s">
        <v>134</v>
      </c>
      <c r="I104" s="80">
        <f t="shared" ref="I104:I113" si="3">K104*(1-O104)*(P104+P104/((P104+1)^Q104-1))</f>
        <v>0</v>
      </c>
      <c r="J104" s="72" t="s">
        <v>124</v>
      </c>
      <c r="K104" s="69">
        <f>124*(M104/500)^0.6*E104</f>
        <v>0</v>
      </c>
      <c r="L104" s="72" t="s">
        <v>120</v>
      </c>
      <c r="M104" s="146">
        <f>IFERROR(ROUNDUP('物質収支（既存）'!L10*25,-1)/E104,0)</f>
        <v>0</v>
      </c>
      <c r="N104" s="339" t="s">
        <v>1</v>
      </c>
      <c r="O104" s="81">
        <f>+⑤基本情報入力!$Y$61</f>
        <v>0.1</v>
      </c>
      <c r="P104" s="82">
        <f>+⑤基本情報入力!$AB$61</f>
        <v>2.3E-2</v>
      </c>
      <c r="Q104" s="83">
        <f>+⑤基本情報入力!$AE$61</f>
        <v>20</v>
      </c>
      <c r="R104" s="72" t="s">
        <v>561</v>
      </c>
    </row>
    <row r="105" spans="1:18" ht="15.75">
      <c r="B105" s="1417"/>
      <c r="C105" s="1407"/>
      <c r="D105" s="1408"/>
      <c r="E105" s="359">
        <v>0</v>
      </c>
      <c r="F105" s="338" t="s">
        <v>8</v>
      </c>
      <c r="G105" s="79" t="s">
        <v>11</v>
      </c>
      <c r="H105" s="72" t="s">
        <v>135</v>
      </c>
      <c r="I105" s="80">
        <f t="shared" si="3"/>
        <v>0</v>
      </c>
      <c r="J105" s="72" t="s">
        <v>124</v>
      </c>
      <c r="K105" s="69">
        <f>44.1*(M105/500)^0.6*E105</f>
        <v>0</v>
      </c>
      <c r="L105" s="72" t="s">
        <v>120</v>
      </c>
      <c r="M105" s="146">
        <f>+M104</f>
        <v>0</v>
      </c>
      <c r="N105" s="339" t="s">
        <v>1</v>
      </c>
      <c r="O105" s="81">
        <f>+⑤基本情報入力!$Y$63</f>
        <v>0.1</v>
      </c>
      <c r="P105" s="84">
        <f>+⑤基本情報入力!$AB$63</f>
        <v>2.3E-2</v>
      </c>
      <c r="Q105" s="83">
        <f>+⑤基本情報入力!$AE$63</f>
        <v>40</v>
      </c>
      <c r="R105" s="86"/>
    </row>
    <row r="106" spans="1:18" ht="15.75">
      <c r="B106" s="1417"/>
      <c r="C106" s="338" t="s">
        <v>9</v>
      </c>
      <c r="D106" s="72"/>
      <c r="E106" s="357">
        <f>+⑤基本情報入力!T55</f>
        <v>0</v>
      </c>
      <c r="F106" s="338" t="s">
        <v>3</v>
      </c>
      <c r="G106" s="79" t="s">
        <v>11</v>
      </c>
      <c r="H106" s="72" t="s">
        <v>660</v>
      </c>
      <c r="I106" s="80">
        <f t="shared" si="3"/>
        <v>0</v>
      </c>
      <c r="J106" s="72" t="s">
        <v>124</v>
      </c>
      <c r="K106" s="69">
        <f>10.4*M106^0.437*E106</f>
        <v>0</v>
      </c>
      <c r="L106" s="72" t="s">
        <v>120</v>
      </c>
      <c r="M106" s="146">
        <f>IFERROR(ROUNDUP('物質収支（既存）'!L84/2,-1)/E106,0)</f>
        <v>0</v>
      </c>
      <c r="N106" s="339" t="s">
        <v>1</v>
      </c>
      <c r="O106" s="81">
        <f>+⑤基本情報入力!$Y$61</f>
        <v>0.1</v>
      </c>
      <c r="P106" s="82">
        <f>+⑤基本情報入力!$AB$61</f>
        <v>2.3E-2</v>
      </c>
      <c r="Q106" s="83">
        <f>+⑤基本情報入力!$AE$61</f>
        <v>20</v>
      </c>
      <c r="R106" s="74" t="s">
        <v>251</v>
      </c>
    </row>
    <row r="107" spans="1:18" ht="15.75">
      <c r="B107" s="1417"/>
      <c r="C107" s="338" t="s">
        <v>16</v>
      </c>
      <c r="D107" s="72"/>
      <c r="E107" s="357">
        <f>+⑤基本情報入力!T55</f>
        <v>0</v>
      </c>
      <c r="F107" s="338" t="s">
        <v>3</v>
      </c>
      <c r="G107" s="79" t="s">
        <v>11</v>
      </c>
      <c r="H107" s="72" t="s">
        <v>661</v>
      </c>
      <c r="I107" s="80">
        <f t="shared" si="3"/>
        <v>0</v>
      </c>
      <c r="J107" s="72" t="s">
        <v>124</v>
      </c>
      <c r="K107" s="69">
        <f>0.878*M107^0.761*E107</f>
        <v>0</v>
      </c>
      <c r="L107" s="72" t="s">
        <v>120</v>
      </c>
      <c r="M107" s="146">
        <f>IFERROR(ROUNDUP('物質収支（既存）'!L84/24,0)/E107,0)</f>
        <v>0</v>
      </c>
      <c r="N107" s="339" t="s">
        <v>298</v>
      </c>
      <c r="O107" s="81">
        <f>+⑤基本情報入力!$Y$61</f>
        <v>0.1</v>
      </c>
      <c r="P107" s="82">
        <f>+⑤基本情報入力!$AB$61</f>
        <v>2.3E-2</v>
      </c>
      <c r="Q107" s="83">
        <f>+⑤基本情報入力!$AE$61</f>
        <v>20</v>
      </c>
      <c r="R107" s="74" t="s">
        <v>252</v>
      </c>
    </row>
    <row r="108" spans="1:18" ht="15.75">
      <c r="A108" s="58"/>
      <c r="B108" s="1417"/>
      <c r="C108" s="1409" t="s">
        <v>10</v>
      </c>
      <c r="D108" s="1412"/>
      <c r="E108" s="357">
        <f>+⑤基本情報入力!T56</f>
        <v>0</v>
      </c>
      <c r="F108" s="338" t="s">
        <v>3</v>
      </c>
      <c r="G108" s="79" t="s">
        <v>11</v>
      </c>
      <c r="H108" s="72" t="s">
        <v>297</v>
      </c>
      <c r="I108" s="80">
        <f t="shared" si="3"/>
        <v>0</v>
      </c>
      <c r="J108" s="72" t="s">
        <v>124</v>
      </c>
      <c r="K108" s="69">
        <f>31.9*M108^0.971*E108</f>
        <v>0</v>
      </c>
      <c r="L108" s="72" t="s">
        <v>120</v>
      </c>
      <c r="M108" s="222">
        <f>IFERROR('物質収支（既存）'!L41/E108,0)</f>
        <v>0</v>
      </c>
      <c r="N108" s="339" t="s">
        <v>0</v>
      </c>
      <c r="O108" s="81">
        <f>+⑤基本情報入力!$Y$61</f>
        <v>0.1</v>
      </c>
      <c r="P108" s="82">
        <f>+⑤基本情報入力!$AB$61</f>
        <v>2.3E-2</v>
      </c>
      <c r="Q108" s="83">
        <f>+⑤基本情報入力!$AE$61</f>
        <v>20</v>
      </c>
      <c r="R108" s="72" t="s">
        <v>253</v>
      </c>
    </row>
    <row r="109" spans="1:18" ht="15.75" customHeight="1">
      <c r="A109" s="58"/>
      <c r="B109" s="1417"/>
      <c r="C109" s="1410"/>
      <c r="D109" s="1413"/>
      <c r="E109" s="357">
        <f>+⑤基本情報入力!T56</f>
        <v>0</v>
      </c>
      <c r="F109" s="338" t="s">
        <v>4</v>
      </c>
      <c r="G109" s="79" t="s">
        <v>11</v>
      </c>
      <c r="H109" s="72" t="s">
        <v>136</v>
      </c>
      <c r="I109" s="80">
        <f t="shared" si="3"/>
        <v>0</v>
      </c>
      <c r="J109" s="72" t="s">
        <v>124</v>
      </c>
      <c r="K109" s="69">
        <f>6.59*M109^0.809*E109</f>
        <v>0</v>
      </c>
      <c r="L109" s="72" t="s">
        <v>120</v>
      </c>
      <c r="M109" s="222">
        <f>+M108</f>
        <v>0</v>
      </c>
      <c r="N109" s="339" t="s">
        <v>0</v>
      </c>
      <c r="O109" s="81">
        <f>+⑤基本情報入力!$Y$62</f>
        <v>0.1</v>
      </c>
      <c r="P109" s="84">
        <f>+⑤基本情報入力!$AB$62</f>
        <v>2.3E-2</v>
      </c>
      <c r="Q109" s="83">
        <f>+⑤基本情報入力!$AE$62</f>
        <v>15</v>
      </c>
      <c r="R109" s="72"/>
    </row>
    <row r="110" spans="1:18" ht="15.75">
      <c r="A110" s="58"/>
      <c r="B110" s="1417"/>
      <c r="C110" s="1411"/>
      <c r="D110" s="1414"/>
      <c r="E110" s="359">
        <v>0</v>
      </c>
      <c r="F110" s="338" t="s">
        <v>5</v>
      </c>
      <c r="G110" s="79" t="s">
        <v>11</v>
      </c>
      <c r="H110" s="72" t="s">
        <v>137</v>
      </c>
      <c r="I110" s="80">
        <f t="shared" si="3"/>
        <v>0</v>
      </c>
      <c r="J110" s="72" t="s">
        <v>124</v>
      </c>
      <c r="K110" s="69">
        <f>12.3*M110^0.941*E110</f>
        <v>0</v>
      </c>
      <c r="L110" s="72" t="s">
        <v>120</v>
      </c>
      <c r="M110" s="222">
        <f>+M108</f>
        <v>0</v>
      </c>
      <c r="N110" s="339" t="s">
        <v>0</v>
      </c>
      <c r="O110" s="81">
        <f>+⑤基本情報入力!$Y$63</f>
        <v>0.1</v>
      </c>
      <c r="P110" s="84">
        <f>+⑤基本情報入力!$AB$63</f>
        <v>2.3E-2</v>
      </c>
      <c r="Q110" s="83">
        <f>+⑤基本情報入力!$AE$63</f>
        <v>40</v>
      </c>
      <c r="R110" s="72"/>
    </row>
    <row r="111" spans="1:18" ht="15.75">
      <c r="A111" s="58"/>
      <c r="B111" s="1417"/>
      <c r="C111" s="1423" t="s">
        <v>310</v>
      </c>
      <c r="D111" s="1347"/>
      <c r="E111" s="357">
        <f>+⑤基本情報入力!T57</f>
        <v>0</v>
      </c>
      <c r="F111" s="338" t="s">
        <v>3</v>
      </c>
      <c r="G111" s="144" t="s">
        <v>11</v>
      </c>
      <c r="H111" s="72" t="s">
        <v>664</v>
      </c>
      <c r="I111" s="94">
        <f t="shared" si="3"/>
        <v>0</v>
      </c>
      <c r="J111" s="97" t="s">
        <v>124</v>
      </c>
      <c r="K111" s="69">
        <f>188.8*M111^0.597*E111</f>
        <v>0</v>
      </c>
      <c r="L111" s="97" t="s">
        <v>120</v>
      </c>
      <c r="M111" s="222">
        <f>IFERROR('物質収支（既存）'!L41/E111,0)</f>
        <v>0</v>
      </c>
      <c r="N111" s="341" t="s">
        <v>0</v>
      </c>
      <c r="O111" s="81">
        <f>+⑤基本情報入力!$Y$61</f>
        <v>0.1</v>
      </c>
      <c r="P111" s="82">
        <f>+⑤基本情報入力!$AB$61</f>
        <v>2.3E-2</v>
      </c>
      <c r="Q111" s="83">
        <f>+⑤基本情報入力!$AE$61</f>
        <v>20</v>
      </c>
      <c r="R111" s="72" t="s">
        <v>316</v>
      </c>
    </row>
    <row r="112" spans="1:18" ht="15.75">
      <c r="A112" s="58"/>
      <c r="B112" s="1417"/>
      <c r="C112" s="1424"/>
      <c r="D112" s="1348"/>
      <c r="E112" s="357">
        <f>+⑤基本情報入力!T57</f>
        <v>0</v>
      </c>
      <c r="F112" s="338" t="s">
        <v>4</v>
      </c>
      <c r="G112" s="144" t="s">
        <v>11</v>
      </c>
      <c r="H112" s="72" t="s">
        <v>665</v>
      </c>
      <c r="I112" s="94">
        <f t="shared" si="3"/>
        <v>0</v>
      </c>
      <c r="J112" s="97" t="s">
        <v>124</v>
      </c>
      <c r="K112" s="69">
        <f>72.6*M112^0.539*E112</f>
        <v>0</v>
      </c>
      <c r="L112" s="97" t="s">
        <v>120</v>
      </c>
      <c r="M112" s="222">
        <f>+M111</f>
        <v>0</v>
      </c>
      <c r="N112" s="341" t="s">
        <v>0</v>
      </c>
      <c r="O112" s="81">
        <f>+⑤基本情報入力!$Y$62</f>
        <v>0.1</v>
      </c>
      <c r="P112" s="84">
        <f>+⑤基本情報入力!$AB$62</f>
        <v>2.3E-2</v>
      </c>
      <c r="Q112" s="83">
        <f>+⑤基本情報入力!$AE$62</f>
        <v>15</v>
      </c>
      <c r="R112" s="72"/>
    </row>
    <row r="113" spans="1:19" ht="16.5" thickBot="1">
      <c r="A113" s="58"/>
      <c r="B113" s="1417"/>
      <c r="C113" s="1425"/>
      <c r="D113" s="1426"/>
      <c r="E113" s="116">
        <v>0</v>
      </c>
      <c r="F113" s="344" t="s">
        <v>8</v>
      </c>
      <c r="G113" s="87" t="s">
        <v>11</v>
      </c>
      <c r="H113" s="88" t="s">
        <v>666</v>
      </c>
      <c r="I113" s="89">
        <f t="shared" si="3"/>
        <v>0</v>
      </c>
      <c r="J113" s="88" t="s">
        <v>124</v>
      </c>
      <c r="K113" s="90">
        <f>136.1*M113^0.38*E113</f>
        <v>0</v>
      </c>
      <c r="L113" s="88" t="s">
        <v>120</v>
      </c>
      <c r="M113" s="224">
        <f>+M111</f>
        <v>0</v>
      </c>
      <c r="N113" s="343" t="s">
        <v>0</v>
      </c>
      <c r="O113" s="91">
        <f>+⑤基本情報入力!$Y$63</f>
        <v>0.1</v>
      </c>
      <c r="P113" s="92">
        <f>+⑤基本情報入力!$AB$63</f>
        <v>2.3E-2</v>
      </c>
      <c r="Q113" s="93">
        <f>+⑤基本情報入力!$AE$63</f>
        <v>40</v>
      </c>
      <c r="R113" s="88"/>
    </row>
    <row r="114" spans="1:19" ht="14.25" thickTop="1">
      <c r="B114" s="1418"/>
      <c r="C114" s="1434" t="s">
        <v>259</v>
      </c>
      <c r="D114" s="1434"/>
      <c r="E114" s="1434"/>
      <c r="F114" s="1434"/>
      <c r="G114" s="1434"/>
      <c r="H114" s="1434"/>
      <c r="I114" s="109">
        <f>SUM(I99:I113)</f>
        <v>0</v>
      </c>
      <c r="J114" s="112" t="s">
        <v>124</v>
      </c>
      <c r="K114" s="111">
        <f>SUM(K99:K113)</f>
        <v>0</v>
      </c>
      <c r="L114" s="112" t="s">
        <v>120</v>
      </c>
      <c r="M114" s="120"/>
      <c r="N114" s="121"/>
      <c r="O114" s="122"/>
      <c r="P114" s="123"/>
      <c r="Q114" s="124"/>
      <c r="R114" s="124"/>
      <c r="S114" s="101"/>
    </row>
    <row r="115" spans="1:19">
      <c r="B115" s="335" t="s">
        <v>260</v>
      </c>
      <c r="C115" s="334" t="s">
        <v>231</v>
      </c>
      <c r="D115" s="334" t="s">
        <v>232</v>
      </c>
      <c r="E115" s="334" t="s">
        <v>233</v>
      </c>
      <c r="F115" s="334" t="s">
        <v>273</v>
      </c>
      <c r="G115" s="1432" t="s">
        <v>235</v>
      </c>
      <c r="H115" s="1432"/>
      <c r="I115" s="1432" t="s">
        <v>237</v>
      </c>
      <c r="J115" s="1432"/>
      <c r="K115" s="1433" t="s">
        <v>291</v>
      </c>
      <c r="L115" s="1433"/>
      <c r="M115" s="1432" t="s">
        <v>97</v>
      </c>
      <c r="N115" s="1432"/>
      <c r="O115" s="1432"/>
      <c r="P115" s="1432"/>
      <c r="Q115" s="1432"/>
      <c r="R115" s="1432"/>
    </row>
    <row r="116" spans="1:19" ht="15.75">
      <c r="B116" s="1435"/>
      <c r="C116" s="338" t="s">
        <v>241</v>
      </c>
      <c r="D116" s="339" t="s">
        <v>242</v>
      </c>
      <c r="E116" s="357">
        <f>+⑤基本情報入力!T53</f>
        <v>0</v>
      </c>
      <c r="F116" s="78" t="s">
        <v>262</v>
      </c>
      <c r="G116" s="79" t="s">
        <v>11</v>
      </c>
      <c r="H116" s="72" t="s">
        <v>658</v>
      </c>
      <c r="I116" s="80">
        <f>0.03*K116^0.628*E116</f>
        <v>0</v>
      </c>
      <c r="J116" s="72" t="s">
        <v>124</v>
      </c>
      <c r="K116" s="80">
        <f>IFERROR('計算条件（既存）'!G25/E116,0)</f>
        <v>0</v>
      </c>
      <c r="L116" s="339" t="s">
        <v>243</v>
      </c>
      <c r="M116" s="1217" t="s">
        <v>263</v>
      </c>
      <c r="N116" s="1218"/>
      <c r="O116" s="1218"/>
      <c r="P116" s="1218"/>
      <c r="Q116" s="1218"/>
      <c r="R116" s="1422"/>
    </row>
    <row r="117" spans="1:19" ht="15.75">
      <c r="B117" s="1435"/>
      <c r="C117" s="338" t="s">
        <v>22</v>
      </c>
      <c r="D117" s="339"/>
      <c r="E117" s="357">
        <f>+⑤基本情報入力!T54</f>
        <v>0</v>
      </c>
      <c r="F117" s="78" t="s">
        <v>308</v>
      </c>
      <c r="G117" s="79" t="s">
        <v>11</v>
      </c>
      <c r="H117" s="72" t="s">
        <v>142</v>
      </c>
      <c r="I117" s="80">
        <f>0.039*K117^0.596*E117</f>
        <v>0</v>
      </c>
      <c r="J117" s="72" t="s">
        <v>124</v>
      </c>
      <c r="K117" s="80">
        <f>IFERROR('計算条件（既存）'!G25*365/E117,0)</f>
        <v>0</v>
      </c>
      <c r="L117" s="339" t="s">
        <v>265</v>
      </c>
      <c r="M117" s="1217" t="s">
        <v>266</v>
      </c>
      <c r="N117" s="1218"/>
      <c r="O117" s="1218"/>
      <c r="P117" s="1218"/>
      <c r="Q117" s="1218"/>
      <c r="R117" s="1422"/>
    </row>
    <row r="118" spans="1:19" ht="15.75">
      <c r="B118" s="1435"/>
      <c r="C118" s="338" t="s">
        <v>246</v>
      </c>
      <c r="D118" s="72"/>
      <c r="E118" s="357">
        <f>+⑤基本情報入力!T53</f>
        <v>0</v>
      </c>
      <c r="F118" s="338" t="s">
        <v>267</v>
      </c>
      <c r="G118" s="79" t="s">
        <v>11</v>
      </c>
      <c r="H118" s="72" t="s">
        <v>141</v>
      </c>
      <c r="I118" s="80">
        <f>0.0024*K118^0.533*E118</f>
        <v>0</v>
      </c>
      <c r="J118" s="72" t="s">
        <v>124</v>
      </c>
      <c r="K118" s="80">
        <f>IFERROR('計算条件（既存）'!G25*365/E118,0)</f>
        <v>0</v>
      </c>
      <c r="L118" s="339" t="s">
        <v>265</v>
      </c>
      <c r="M118" s="1217" t="s">
        <v>266</v>
      </c>
      <c r="N118" s="1218"/>
      <c r="O118" s="1218"/>
      <c r="P118" s="1218"/>
      <c r="Q118" s="1218"/>
      <c r="R118" s="1422"/>
    </row>
    <row r="119" spans="1:19" ht="15.75">
      <c r="B119" s="1435"/>
      <c r="C119" s="355" t="s">
        <v>18</v>
      </c>
      <c r="D119" s="356" t="s">
        <v>249</v>
      </c>
      <c r="E119" s="357">
        <f>+⑤基本情報入力!T55</f>
        <v>0</v>
      </c>
      <c r="F119" s="338" t="s">
        <v>17</v>
      </c>
      <c r="G119" s="79" t="s">
        <v>11</v>
      </c>
      <c r="H119" s="72" t="s">
        <v>313</v>
      </c>
      <c r="I119" s="85">
        <f>0.171*(K119)^0.39*E119</f>
        <v>0</v>
      </c>
      <c r="J119" s="72" t="s">
        <v>124</v>
      </c>
      <c r="K119" s="146">
        <f>IFERROR('計算条件（既存）'!G25*365/E119,0)</f>
        <v>0</v>
      </c>
      <c r="L119" s="339" t="s">
        <v>265</v>
      </c>
      <c r="M119" s="1217" t="s">
        <v>266</v>
      </c>
      <c r="N119" s="1218"/>
      <c r="O119" s="1218"/>
      <c r="P119" s="1218"/>
      <c r="Q119" s="1218"/>
      <c r="R119" s="1422"/>
    </row>
    <row r="120" spans="1:19" ht="15.75">
      <c r="B120" s="1435"/>
      <c r="C120" s="355" t="s">
        <v>9</v>
      </c>
      <c r="D120" s="356"/>
      <c r="E120" s="357">
        <f>+⑤基本情報入力!T55</f>
        <v>0</v>
      </c>
      <c r="F120" s="338" t="s">
        <v>13</v>
      </c>
      <c r="G120" s="79" t="s">
        <v>11</v>
      </c>
      <c r="H120" s="355" t="s">
        <v>667</v>
      </c>
      <c r="I120" s="85">
        <f>0.283*K120^0.302*E120</f>
        <v>0</v>
      </c>
      <c r="J120" s="72" t="s">
        <v>124</v>
      </c>
      <c r="K120" s="146">
        <f>IFERROR(ROUNDUP('物質収支（既存）'!L84/2,-1)/E120,0)</f>
        <v>0</v>
      </c>
      <c r="L120" s="339" t="s">
        <v>1</v>
      </c>
      <c r="M120" s="1217" t="s">
        <v>251</v>
      </c>
      <c r="N120" s="1218"/>
      <c r="O120" s="1218"/>
      <c r="P120" s="1218"/>
      <c r="Q120" s="1218"/>
      <c r="R120" s="1422"/>
    </row>
    <row r="121" spans="1:19" ht="15.75">
      <c r="B121" s="1435"/>
      <c r="C121" s="355" t="s">
        <v>16</v>
      </c>
      <c r="D121" s="356"/>
      <c r="E121" s="357">
        <f>+⑤基本情報入力!T55</f>
        <v>0</v>
      </c>
      <c r="F121" s="338" t="s">
        <v>13</v>
      </c>
      <c r="G121" s="79" t="s">
        <v>11</v>
      </c>
      <c r="H121" s="355" t="s">
        <v>668</v>
      </c>
      <c r="I121" s="85">
        <f>0.0796*K121^0.761*E121</f>
        <v>0</v>
      </c>
      <c r="J121" s="72" t="s">
        <v>124</v>
      </c>
      <c r="K121" s="146">
        <f>IFERROR(ROUNDUP('物質収支（既存）'!L84/24,0)/E121,0)</f>
        <v>0</v>
      </c>
      <c r="L121" s="339" t="s">
        <v>298</v>
      </c>
      <c r="M121" s="1217" t="s">
        <v>252</v>
      </c>
      <c r="N121" s="1218"/>
      <c r="O121" s="1218"/>
      <c r="P121" s="1218"/>
      <c r="Q121" s="1218"/>
      <c r="R121" s="1422"/>
    </row>
    <row r="122" spans="1:19" ht="15.75">
      <c r="B122" s="1435"/>
      <c r="C122" s="355" t="s">
        <v>10</v>
      </c>
      <c r="D122" s="356"/>
      <c r="E122" s="357">
        <f>+⑤基本情報入力!T56</f>
        <v>0</v>
      </c>
      <c r="F122" s="338" t="s">
        <v>17</v>
      </c>
      <c r="G122" s="79" t="s">
        <v>11</v>
      </c>
      <c r="H122" s="72" t="s">
        <v>140</v>
      </c>
      <c r="I122" s="85">
        <f>0.362*K122^0.585*E122</f>
        <v>0</v>
      </c>
      <c r="J122" s="72" t="s">
        <v>124</v>
      </c>
      <c r="K122" s="222">
        <f>IFERROR('物質収支（既存）'!L41*365/E122,0)</f>
        <v>0</v>
      </c>
      <c r="L122" s="339" t="s">
        <v>562</v>
      </c>
      <c r="M122" s="1217" t="s">
        <v>268</v>
      </c>
      <c r="N122" s="1218"/>
      <c r="O122" s="1218"/>
      <c r="P122" s="1218"/>
      <c r="Q122" s="1218"/>
      <c r="R122" s="1422"/>
    </row>
    <row r="123" spans="1:19" ht="16.5" thickBot="1">
      <c r="B123" s="1435"/>
      <c r="C123" s="344" t="s">
        <v>310</v>
      </c>
      <c r="D123" s="343"/>
      <c r="E123" s="116">
        <f>+⑤基本情報入力!T57</f>
        <v>0</v>
      </c>
      <c r="F123" s="344" t="s">
        <v>264</v>
      </c>
      <c r="G123" s="87" t="s">
        <v>11</v>
      </c>
      <c r="H123" s="88" t="s">
        <v>670</v>
      </c>
      <c r="I123" s="272">
        <f>0.287*K123^0.673*E123</f>
        <v>0</v>
      </c>
      <c r="J123" s="88" t="s">
        <v>124</v>
      </c>
      <c r="K123" s="224">
        <f>IFERROR('物質収支（既存）'!L41*365/E123,0)</f>
        <v>0</v>
      </c>
      <c r="L123" s="343" t="s">
        <v>562</v>
      </c>
      <c r="M123" s="1437" t="s">
        <v>563</v>
      </c>
      <c r="N123" s="1438"/>
      <c r="O123" s="1438"/>
      <c r="P123" s="1438"/>
      <c r="Q123" s="1438"/>
      <c r="R123" s="1439"/>
    </row>
    <row r="124" spans="1:19" ht="14.25" thickTop="1">
      <c r="B124" s="1436"/>
      <c r="C124" s="1427" t="s">
        <v>259</v>
      </c>
      <c r="D124" s="1428"/>
      <c r="E124" s="1428"/>
      <c r="F124" s="1428"/>
      <c r="G124" s="1428"/>
      <c r="H124" s="1429"/>
      <c r="I124" s="109">
        <f>SUM(I116:I123)</f>
        <v>0</v>
      </c>
      <c r="J124" s="112" t="s">
        <v>124</v>
      </c>
    </row>
    <row r="127" spans="1:19">
      <c r="A127" s="148" t="str">
        <f>+⑤基本情報入力!Y51</f>
        <v>⑤</v>
      </c>
      <c r="B127" s="58">
        <f>+⑤基本情報入力!Y52</f>
        <v>0</v>
      </c>
    </row>
    <row r="128" spans="1:19">
      <c r="B128" s="352" t="s">
        <v>230</v>
      </c>
      <c r="C128" s="337" t="s">
        <v>231</v>
      </c>
      <c r="D128" s="337" t="s">
        <v>232</v>
      </c>
      <c r="E128" s="337" t="s">
        <v>233</v>
      </c>
      <c r="F128" s="337" t="s">
        <v>23</v>
      </c>
      <c r="G128" s="1415" t="s">
        <v>235</v>
      </c>
      <c r="H128" s="1415"/>
      <c r="I128" s="1415" t="s">
        <v>236</v>
      </c>
      <c r="J128" s="1415"/>
      <c r="K128" s="1415" t="s">
        <v>237</v>
      </c>
      <c r="L128" s="1415"/>
      <c r="M128" s="1416" t="s">
        <v>291</v>
      </c>
      <c r="N128" s="1416"/>
      <c r="O128" s="77" t="s">
        <v>238</v>
      </c>
      <c r="P128" s="77" t="s">
        <v>239</v>
      </c>
      <c r="Q128" s="77" t="s">
        <v>240</v>
      </c>
      <c r="R128" s="337" t="s">
        <v>97</v>
      </c>
    </row>
    <row r="129" spans="1:18" ht="15.75">
      <c r="B129" s="1417"/>
      <c r="C129" s="1419" t="s">
        <v>241</v>
      </c>
      <c r="D129" s="1221" t="s">
        <v>242</v>
      </c>
      <c r="E129" s="357">
        <f>+⑤基本情報入力!Y53</f>
        <v>0</v>
      </c>
      <c r="F129" s="78" t="s">
        <v>3</v>
      </c>
      <c r="G129" s="79" t="s">
        <v>11</v>
      </c>
      <c r="H129" s="79" t="s">
        <v>653</v>
      </c>
      <c r="I129" s="80">
        <f>K129*(1-O129)*(P129+P129/((P129+1)^Q129-1))</f>
        <v>0</v>
      </c>
      <c r="J129" s="72" t="s">
        <v>124</v>
      </c>
      <c r="K129" s="70">
        <f>1.31*M129^0.611*E129</f>
        <v>0</v>
      </c>
      <c r="L129" s="79" t="s">
        <v>120</v>
      </c>
      <c r="M129" s="80">
        <f>IFERROR('計算条件（既存）'!H31/E129,0)</f>
        <v>0</v>
      </c>
      <c r="N129" s="1221" t="s">
        <v>243</v>
      </c>
      <c r="O129" s="81">
        <f>+⑤基本情報入力!$Y$61</f>
        <v>0.1</v>
      </c>
      <c r="P129" s="82">
        <f>+⑤基本情報入力!$AB$61</f>
        <v>2.3E-2</v>
      </c>
      <c r="Q129" s="83">
        <f>+⑤基本情報入力!$AE$61</f>
        <v>20</v>
      </c>
      <c r="R129" s="72" t="s">
        <v>244</v>
      </c>
    </row>
    <row r="130" spans="1:18" ht="15.75">
      <c r="B130" s="1417"/>
      <c r="C130" s="1419"/>
      <c r="D130" s="1221"/>
      <c r="E130" s="357">
        <v>0</v>
      </c>
      <c r="F130" s="78" t="s">
        <v>8</v>
      </c>
      <c r="G130" s="79" t="s">
        <v>11</v>
      </c>
      <c r="H130" s="79" t="s">
        <v>654</v>
      </c>
      <c r="I130" s="80">
        <f>K130*(1-O130)*(P130+P130/((P130+1)^Q130-1))</f>
        <v>0</v>
      </c>
      <c r="J130" s="72" t="s">
        <v>124</v>
      </c>
      <c r="K130" s="70">
        <f>1.24*M130^0.598*E130</f>
        <v>0</v>
      </c>
      <c r="L130" s="79" t="s">
        <v>120</v>
      </c>
      <c r="M130" s="80">
        <f>+M129</f>
        <v>0</v>
      </c>
      <c r="N130" s="1221"/>
      <c r="O130" s="81">
        <f>+⑤基本情報入力!$Y$63</f>
        <v>0.1</v>
      </c>
      <c r="P130" s="84">
        <f>+⑤基本情報入力!$AB$63</f>
        <v>2.3E-2</v>
      </c>
      <c r="Q130" s="83">
        <f>+⑤基本情報入力!$AE$63</f>
        <v>40</v>
      </c>
      <c r="R130" s="72" t="s">
        <v>244</v>
      </c>
    </row>
    <row r="131" spans="1:18" ht="15.75">
      <c r="B131" s="1417"/>
      <c r="C131" s="1419" t="s">
        <v>22</v>
      </c>
      <c r="D131" s="1221"/>
      <c r="E131" s="357">
        <f>+⑤基本情報入力!Y54</f>
        <v>0</v>
      </c>
      <c r="F131" s="78" t="s">
        <v>3</v>
      </c>
      <c r="G131" s="79" t="s">
        <v>11</v>
      </c>
      <c r="H131" s="79" t="s">
        <v>655</v>
      </c>
      <c r="I131" s="80">
        <f>K131*(1-O131)*(P131+P131/((P131+1)^Q131-1))</f>
        <v>0</v>
      </c>
      <c r="J131" s="72" t="s">
        <v>124</v>
      </c>
      <c r="K131" s="70">
        <f>22.7*M131^0.444*E131</f>
        <v>0</v>
      </c>
      <c r="L131" s="79" t="s">
        <v>120</v>
      </c>
      <c r="M131" s="80">
        <f>IFERROR('計算条件（既存）'!H31/E131,0)</f>
        <v>0</v>
      </c>
      <c r="N131" s="1221" t="s">
        <v>243</v>
      </c>
      <c r="O131" s="81">
        <f>+⑤基本情報入力!$Y$61</f>
        <v>0.1</v>
      </c>
      <c r="P131" s="82">
        <f>+⑤基本情報入力!$AB$61</f>
        <v>2.3E-2</v>
      </c>
      <c r="Q131" s="83">
        <f>+⑤基本情報入力!$AE$61</f>
        <v>20</v>
      </c>
      <c r="R131" s="72" t="s">
        <v>244</v>
      </c>
    </row>
    <row r="132" spans="1:18" ht="15.75">
      <c r="B132" s="1417"/>
      <c r="C132" s="1419"/>
      <c r="D132" s="1221"/>
      <c r="E132" s="357">
        <v>0</v>
      </c>
      <c r="F132" s="78" t="s">
        <v>8</v>
      </c>
      <c r="G132" s="79" t="s">
        <v>11</v>
      </c>
      <c r="H132" s="79" t="s">
        <v>656</v>
      </c>
      <c r="I132" s="80">
        <f>K132*(1-O132)*(P132+P132/((P132+1)^Q132-1))</f>
        <v>0</v>
      </c>
      <c r="J132" s="72" t="s">
        <v>124</v>
      </c>
      <c r="K132" s="70">
        <f>43.4*M132^0.373*E132</f>
        <v>0</v>
      </c>
      <c r="L132" s="79" t="s">
        <v>120</v>
      </c>
      <c r="M132" s="80">
        <f>+M131</f>
        <v>0</v>
      </c>
      <c r="N132" s="1221"/>
      <c r="O132" s="81">
        <f>+⑤基本情報入力!$Y$63</f>
        <v>0.1</v>
      </c>
      <c r="P132" s="84">
        <f>+⑤基本情報入力!$AB$63</f>
        <v>2.3E-2</v>
      </c>
      <c r="Q132" s="83">
        <f>+⑤基本情報入力!$AE$63</f>
        <v>40</v>
      </c>
      <c r="R132" s="72" t="s">
        <v>244</v>
      </c>
    </row>
    <row r="133" spans="1:18" ht="15.75">
      <c r="B133" s="1417"/>
      <c r="C133" s="338" t="s">
        <v>246</v>
      </c>
      <c r="D133" s="72"/>
      <c r="E133" s="357">
        <f>+⑤基本情報入力!Y53</f>
        <v>0</v>
      </c>
      <c r="F133" s="338" t="s">
        <v>4</v>
      </c>
      <c r="G133" s="79" t="s">
        <v>11</v>
      </c>
      <c r="H133" s="72" t="s">
        <v>657</v>
      </c>
      <c r="I133" s="80">
        <f>K133*(1-O133)*(P133+P133/((P133+1)^Q133-1))</f>
        <v>0</v>
      </c>
      <c r="J133" s="72" t="s">
        <v>124</v>
      </c>
      <c r="K133" s="69">
        <f>17.8*M133^0.464*E133</f>
        <v>0</v>
      </c>
      <c r="L133" s="72" t="s">
        <v>120</v>
      </c>
      <c r="M133" s="80">
        <f>IFERROR('計算条件（既存）'!H31/E133,0)</f>
        <v>0</v>
      </c>
      <c r="N133" s="339" t="s">
        <v>243</v>
      </c>
      <c r="O133" s="81">
        <f>+⑤基本情報入力!$Y$62</f>
        <v>0.1</v>
      </c>
      <c r="P133" s="84">
        <f>+⑤基本情報入力!$AB$62</f>
        <v>2.3E-2</v>
      </c>
      <c r="Q133" s="83">
        <f>+⑤基本情報入力!$AE$62</f>
        <v>15</v>
      </c>
      <c r="R133" s="72" t="s">
        <v>247</v>
      </c>
    </row>
    <row r="134" spans="1:18" ht="15.75">
      <c r="B134" s="1417"/>
      <c r="C134" s="1407" t="s">
        <v>18</v>
      </c>
      <c r="D134" s="1408" t="s">
        <v>249</v>
      </c>
      <c r="E134" s="357">
        <f>+⑤基本情報入力!Y55</f>
        <v>0</v>
      </c>
      <c r="F134" s="338" t="s">
        <v>3</v>
      </c>
      <c r="G134" s="79" t="s">
        <v>11</v>
      </c>
      <c r="H134" s="72" t="s">
        <v>134</v>
      </c>
      <c r="I134" s="80">
        <f t="shared" ref="I134:I143" si="4">K134*(1-O134)*(P134+P134/((P134+1)^Q134-1))</f>
        <v>0</v>
      </c>
      <c r="J134" s="72" t="s">
        <v>124</v>
      </c>
      <c r="K134" s="69">
        <f>124*(M134/500)^0.6*E134</f>
        <v>0</v>
      </c>
      <c r="L134" s="72" t="s">
        <v>120</v>
      </c>
      <c r="M134" s="146">
        <f>IFERROR(ROUNDUP('物質収支（既存）'!M10*25,-1)/E134,0)</f>
        <v>0</v>
      </c>
      <c r="N134" s="339" t="s">
        <v>1</v>
      </c>
      <c r="O134" s="81">
        <f>+⑤基本情報入力!$Y$61</f>
        <v>0.1</v>
      </c>
      <c r="P134" s="82">
        <f>+⑤基本情報入力!$AB$61</f>
        <v>2.3E-2</v>
      </c>
      <c r="Q134" s="83">
        <f>+⑤基本情報入力!$AE$61</f>
        <v>20</v>
      </c>
      <c r="R134" s="72" t="s">
        <v>561</v>
      </c>
    </row>
    <row r="135" spans="1:18" ht="15.75">
      <c r="B135" s="1417"/>
      <c r="C135" s="1407"/>
      <c r="D135" s="1408"/>
      <c r="E135" s="359">
        <v>0</v>
      </c>
      <c r="F135" s="338" t="s">
        <v>8</v>
      </c>
      <c r="G135" s="79" t="s">
        <v>11</v>
      </c>
      <c r="H135" s="72" t="s">
        <v>135</v>
      </c>
      <c r="I135" s="80">
        <f t="shared" si="4"/>
        <v>0</v>
      </c>
      <c r="J135" s="72" t="s">
        <v>124</v>
      </c>
      <c r="K135" s="69">
        <f>44.1*(M135/500)^0.6*E135</f>
        <v>0</v>
      </c>
      <c r="L135" s="72" t="s">
        <v>120</v>
      </c>
      <c r="M135" s="146">
        <f>+M134</f>
        <v>0</v>
      </c>
      <c r="N135" s="339" t="s">
        <v>1</v>
      </c>
      <c r="O135" s="81">
        <f>+⑤基本情報入力!$Y$63</f>
        <v>0.1</v>
      </c>
      <c r="P135" s="84">
        <f>+⑤基本情報入力!$AB$63</f>
        <v>2.3E-2</v>
      </c>
      <c r="Q135" s="83">
        <f>+⑤基本情報入力!$AE$63</f>
        <v>40</v>
      </c>
      <c r="R135" s="86"/>
    </row>
    <row r="136" spans="1:18" ht="15.75">
      <c r="B136" s="1417"/>
      <c r="C136" s="338" t="s">
        <v>9</v>
      </c>
      <c r="D136" s="72"/>
      <c r="E136" s="357">
        <f>+⑤基本情報入力!Y55</f>
        <v>0</v>
      </c>
      <c r="F136" s="338" t="s">
        <v>3</v>
      </c>
      <c r="G136" s="79" t="s">
        <v>11</v>
      </c>
      <c r="H136" s="72" t="s">
        <v>660</v>
      </c>
      <c r="I136" s="80">
        <f t="shared" si="4"/>
        <v>0</v>
      </c>
      <c r="J136" s="72" t="s">
        <v>124</v>
      </c>
      <c r="K136" s="69">
        <f>10.4*M136^0.437*E136</f>
        <v>0</v>
      </c>
      <c r="L136" s="72" t="s">
        <v>120</v>
      </c>
      <c r="M136" s="146">
        <f>IFERROR(ROUNDUP('物質収支（既存）'!M84/2,-1)/E136,0)</f>
        <v>0</v>
      </c>
      <c r="N136" s="339" t="s">
        <v>1</v>
      </c>
      <c r="O136" s="81">
        <f>+⑤基本情報入力!$Y$61</f>
        <v>0.1</v>
      </c>
      <c r="P136" s="82">
        <f>+⑤基本情報入力!$AB$61</f>
        <v>2.3E-2</v>
      </c>
      <c r="Q136" s="83">
        <f>+⑤基本情報入力!$AE$61</f>
        <v>20</v>
      </c>
      <c r="R136" s="74" t="s">
        <v>251</v>
      </c>
    </row>
    <row r="137" spans="1:18" ht="15.75">
      <c r="B137" s="1417"/>
      <c r="C137" s="338" t="s">
        <v>16</v>
      </c>
      <c r="D137" s="72"/>
      <c r="E137" s="357">
        <f>+⑤基本情報入力!Y55</f>
        <v>0</v>
      </c>
      <c r="F137" s="338" t="s">
        <v>3</v>
      </c>
      <c r="G137" s="79" t="s">
        <v>11</v>
      </c>
      <c r="H137" s="72" t="s">
        <v>661</v>
      </c>
      <c r="I137" s="80">
        <f t="shared" si="4"/>
        <v>0</v>
      </c>
      <c r="J137" s="72" t="s">
        <v>124</v>
      </c>
      <c r="K137" s="69">
        <f>0.878*M137^0.761*E137</f>
        <v>0</v>
      </c>
      <c r="L137" s="72" t="s">
        <v>120</v>
      </c>
      <c r="M137" s="146">
        <f>IFERROR(ROUNDUP('物質収支（既存）'!M84/24,0)/E137,0)</f>
        <v>0</v>
      </c>
      <c r="N137" s="339" t="s">
        <v>298</v>
      </c>
      <c r="O137" s="81">
        <f>+⑤基本情報入力!$Y$61</f>
        <v>0.1</v>
      </c>
      <c r="P137" s="82">
        <f>+⑤基本情報入力!$AB$61</f>
        <v>2.3E-2</v>
      </c>
      <c r="Q137" s="83">
        <f>+⑤基本情報入力!$AE$61</f>
        <v>20</v>
      </c>
      <c r="R137" s="74" t="s">
        <v>252</v>
      </c>
    </row>
    <row r="138" spans="1:18" ht="15.75">
      <c r="A138" s="58"/>
      <c r="B138" s="1417"/>
      <c r="C138" s="1409" t="s">
        <v>10</v>
      </c>
      <c r="D138" s="1412"/>
      <c r="E138" s="357">
        <f>+⑤基本情報入力!Y56</f>
        <v>0</v>
      </c>
      <c r="F138" s="338" t="s">
        <v>3</v>
      </c>
      <c r="G138" s="79" t="s">
        <v>11</v>
      </c>
      <c r="H138" s="72" t="s">
        <v>297</v>
      </c>
      <c r="I138" s="80">
        <f t="shared" si="4"/>
        <v>0</v>
      </c>
      <c r="J138" s="72" t="s">
        <v>124</v>
      </c>
      <c r="K138" s="69">
        <f>31.9*M138^0.971*E138</f>
        <v>0</v>
      </c>
      <c r="L138" s="72" t="s">
        <v>120</v>
      </c>
      <c r="M138" s="222">
        <f>IFERROR('物質収支（既存）'!M41/E138,0)</f>
        <v>0</v>
      </c>
      <c r="N138" s="339" t="s">
        <v>0</v>
      </c>
      <c r="O138" s="81">
        <f>+⑤基本情報入力!$Y$61</f>
        <v>0.1</v>
      </c>
      <c r="P138" s="82">
        <f>+⑤基本情報入力!$AB$61</f>
        <v>2.3E-2</v>
      </c>
      <c r="Q138" s="83">
        <f>+⑤基本情報入力!$AE$61</f>
        <v>20</v>
      </c>
      <c r="R138" s="72" t="s">
        <v>253</v>
      </c>
    </row>
    <row r="139" spans="1:18" ht="15.75" customHeight="1">
      <c r="A139" s="58"/>
      <c r="B139" s="1417"/>
      <c r="C139" s="1410"/>
      <c r="D139" s="1413"/>
      <c r="E139" s="357">
        <f>+⑤基本情報入力!Y56</f>
        <v>0</v>
      </c>
      <c r="F139" s="338" t="s">
        <v>4</v>
      </c>
      <c r="G139" s="79" t="s">
        <v>11</v>
      </c>
      <c r="H139" s="72" t="s">
        <v>136</v>
      </c>
      <c r="I139" s="80">
        <f t="shared" si="4"/>
        <v>0</v>
      </c>
      <c r="J139" s="72" t="s">
        <v>124</v>
      </c>
      <c r="K139" s="69">
        <f>6.59*M139^0.809*E139</f>
        <v>0</v>
      </c>
      <c r="L139" s="72" t="s">
        <v>120</v>
      </c>
      <c r="M139" s="222">
        <f>+M138</f>
        <v>0</v>
      </c>
      <c r="N139" s="339" t="s">
        <v>0</v>
      </c>
      <c r="O139" s="81">
        <f>+⑤基本情報入力!$Y$62</f>
        <v>0.1</v>
      </c>
      <c r="P139" s="84">
        <f>+⑤基本情報入力!$AB$62</f>
        <v>2.3E-2</v>
      </c>
      <c r="Q139" s="83">
        <f>+⑤基本情報入力!$AE$62</f>
        <v>15</v>
      </c>
      <c r="R139" s="72"/>
    </row>
    <row r="140" spans="1:18" ht="15.75">
      <c r="A140" s="58"/>
      <c r="B140" s="1417"/>
      <c r="C140" s="1411"/>
      <c r="D140" s="1414"/>
      <c r="E140" s="359">
        <v>0</v>
      </c>
      <c r="F140" s="338" t="s">
        <v>5</v>
      </c>
      <c r="G140" s="79" t="s">
        <v>11</v>
      </c>
      <c r="H140" s="72" t="s">
        <v>137</v>
      </c>
      <c r="I140" s="80">
        <f t="shared" si="4"/>
        <v>0</v>
      </c>
      <c r="J140" s="72" t="s">
        <v>124</v>
      </c>
      <c r="K140" s="69">
        <f>12.3*M140^0.941*E140</f>
        <v>0</v>
      </c>
      <c r="L140" s="72" t="s">
        <v>120</v>
      </c>
      <c r="M140" s="222">
        <f>+M138</f>
        <v>0</v>
      </c>
      <c r="N140" s="339" t="s">
        <v>0</v>
      </c>
      <c r="O140" s="81">
        <f>+⑤基本情報入力!$Y$63</f>
        <v>0.1</v>
      </c>
      <c r="P140" s="84">
        <f>+⑤基本情報入力!$AB$63</f>
        <v>2.3E-2</v>
      </c>
      <c r="Q140" s="83">
        <f>+⑤基本情報入力!$AE$63</f>
        <v>40</v>
      </c>
      <c r="R140" s="72"/>
    </row>
    <row r="141" spans="1:18" ht="15.75">
      <c r="A141" s="58"/>
      <c r="B141" s="1417"/>
      <c r="C141" s="1423" t="s">
        <v>310</v>
      </c>
      <c r="D141" s="1347"/>
      <c r="E141" s="357">
        <f>+⑤基本情報入力!Y57</f>
        <v>0</v>
      </c>
      <c r="F141" s="338" t="s">
        <v>3</v>
      </c>
      <c r="G141" s="144" t="s">
        <v>11</v>
      </c>
      <c r="H141" s="72" t="s">
        <v>664</v>
      </c>
      <c r="I141" s="94">
        <f t="shared" si="4"/>
        <v>0</v>
      </c>
      <c r="J141" s="97" t="s">
        <v>124</v>
      </c>
      <c r="K141" s="69">
        <f>188.8*M141^0.597*E141</f>
        <v>0</v>
      </c>
      <c r="L141" s="97" t="s">
        <v>120</v>
      </c>
      <c r="M141" s="222">
        <f>IFERROR('物質収支（既存）'!M41/E141,0)</f>
        <v>0</v>
      </c>
      <c r="N141" s="341" t="s">
        <v>0</v>
      </c>
      <c r="O141" s="81">
        <f>+⑤基本情報入力!$Y$61</f>
        <v>0.1</v>
      </c>
      <c r="P141" s="82">
        <f>+⑤基本情報入力!$AB$61</f>
        <v>2.3E-2</v>
      </c>
      <c r="Q141" s="83">
        <f>+⑤基本情報入力!$AE$61</f>
        <v>20</v>
      </c>
      <c r="R141" s="72" t="s">
        <v>316</v>
      </c>
    </row>
    <row r="142" spans="1:18" ht="15.75">
      <c r="A142" s="58"/>
      <c r="B142" s="1417"/>
      <c r="C142" s="1424"/>
      <c r="D142" s="1348"/>
      <c r="E142" s="357">
        <f>+⑤基本情報入力!Y57</f>
        <v>0</v>
      </c>
      <c r="F142" s="338" t="s">
        <v>4</v>
      </c>
      <c r="G142" s="144" t="s">
        <v>11</v>
      </c>
      <c r="H142" s="72" t="s">
        <v>665</v>
      </c>
      <c r="I142" s="94">
        <f t="shared" si="4"/>
        <v>0</v>
      </c>
      <c r="J142" s="97" t="s">
        <v>124</v>
      </c>
      <c r="K142" s="69">
        <f>72.6*M142^0.539*E142</f>
        <v>0</v>
      </c>
      <c r="L142" s="97" t="s">
        <v>120</v>
      </c>
      <c r="M142" s="222">
        <f>+M141</f>
        <v>0</v>
      </c>
      <c r="N142" s="341" t="s">
        <v>0</v>
      </c>
      <c r="O142" s="81">
        <f>+⑤基本情報入力!$Y$62</f>
        <v>0.1</v>
      </c>
      <c r="P142" s="84">
        <f>+⑤基本情報入力!$AB$62</f>
        <v>2.3E-2</v>
      </c>
      <c r="Q142" s="83">
        <f>+⑤基本情報入力!$AE$62</f>
        <v>15</v>
      </c>
      <c r="R142" s="72"/>
    </row>
    <row r="143" spans="1:18" ht="16.5" thickBot="1">
      <c r="A143" s="58"/>
      <c r="B143" s="1417"/>
      <c r="C143" s="1425"/>
      <c r="D143" s="1426"/>
      <c r="E143" s="116">
        <v>0</v>
      </c>
      <c r="F143" s="344" t="s">
        <v>8</v>
      </c>
      <c r="G143" s="87" t="s">
        <v>11</v>
      </c>
      <c r="H143" s="88" t="s">
        <v>666</v>
      </c>
      <c r="I143" s="89">
        <f t="shared" si="4"/>
        <v>0</v>
      </c>
      <c r="J143" s="88" t="s">
        <v>124</v>
      </c>
      <c r="K143" s="90">
        <f>136.1*M143^0.38*E143</f>
        <v>0</v>
      </c>
      <c r="L143" s="88" t="s">
        <v>120</v>
      </c>
      <c r="M143" s="224">
        <f>+M141</f>
        <v>0</v>
      </c>
      <c r="N143" s="343" t="s">
        <v>0</v>
      </c>
      <c r="O143" s="91">
        <f>+⑤基本情報入力!$Y$63</f>
        <v>0.1</v>
      </c>
      <c r="P143" s="92">
        <f>+⑤基本情報入力!$AB$63</f>
        <v>2.3E-2</v>
      </c>
      <c r="Q143" s="93">
        <f>+⑤基本情報入力!$AE$63</f>
        <v>40</v>
      </c>
      <c r="R143" s="88"/>
    </row>
    <row r="144" spans="1:18" ht="14.25" thickTop="1">
      <c r="B144" s="1418"/>
      <c r="C144" s="1434" t="s">
        <v>259</v>
      </c>
      <c r="D144" s="1434"/>
      <c r="E144" s="1434"/>
      <c r="F144" s="1434"/>
      <c r="G144" s="1434"/>
      <c r="H144" s="1434"/>
      <c r="I144" s="109">
        <f>SUM(I129:I143)</f>
        <v>0</v>
      </c>
      <c r="J144" s="112" t="s">
        <v>124</v>
      </c>
      <c r="K144" s="111">
        <f>SUM(K129:K143)</f>
        <v>0</v>
      </c>
      <c r="L144" s="112" t="s">
        <v>120</v>
      </c>
    </row>
    <row r="145" spans="1:18">
      <c r="B145" s="125" t="s">
        <v>260</v>
      </c>
      <c r="C145" s="334" t="s">
        <v>231</v>
      </c>
      <c r="D145" s="334" t="s">
        <v>232</v>
      </c>
      <c r="E145" s="334" t="s">
        <v>233</v>
      </c>
      <c r="F145" s="334" t="s">
        <v>273</v>
      </c>
      <c r="G145" s="1432" t="s">
        <v>235</v>
      </c>
      <c r="H145" s="1432"/>
      <c r="I145" s="1432" t="s">
        <v>237</v>
      </c>
      <c r="J145" s="1432"/>
      <c r="K145" s="1433" t="s">
        <v>291</v>
      </c>
      <c r="L145" s="1433"/>
      <c r="M145" s="1432" t="s">
        <v>97</v>
      </c>
      <c r="N145" s="1432"/>
      <c r="O145" s="1432"/>
      <c r="P145" s="1432"/>
      <c r="Q145" s="1432"/>
      <c r="R145" s="1432"/>
    </row>
    <row r="146" spans="1:18" ht="15.75">
      <c r="B146" s="1435"/>
      <c r="C146" s="338" t="s">
        <v>241</v>
      </c>
      <c r="D146" s="339" t="s">
        <v>242</v>
      </c>
      <c r="E146" s="357">
        <f>+⑤基本情報入力!Y53</f>
        <v>0</v>
      </c>
      <c r="F146" s="78" t="s">
        <v>262</v>
      </c>
      <c r="G146" s="79" t="s">
        <v>11</v>
      </c>
      <c r="H146" s="72" t="s">
        <v>290</v>
      </c>
      <c r="I146" s="80">
        <f>0.03*K146^0.628*E146</f>
        <v>0</v>
      </c>
      <c r="J146" s="72" t="s">
        <v>124</v>
      </c>
      <c r="K146" s="80">
        <f>IFERROR('計算条件（既存）'!G31/E146,0)</f>
        <v>0</v>
      </c>
      <c r="L146" s="339" t="s">
        <v>243</v>
      </c>
      <c r="M146" s="1217" t="s">
        <v>263</v>
      </c>
      <c r="N146" s="1218"/>
      <c r="O146" s="1218"/>
      <c r="P146" s="1218"/>
      <c r="Q146" s="1218"/>
      <c r="R146" s="1422"/>
    </row>
    <row r="147" spans="1:18" ht="15.75">
      <c r="B147" s="1435"/>
      <c r="C147" s="338" t="s">
        <v>22</v>
      </c>
      <c r="D147" s="339"/>
      <c r="E147" s="357">
        <f>+⑤基本情報入力!Y54</f>
        <v>0</v>
      </c>
      <c r="F147" s="78" t="s">
        <v>308</v>
      </c>
      <c r="G147" s="79" t="s">
        <v>11</v>
      </c>
      <c r="H147" s="72" t="s">
        <v>142</v>
      </c>
      <c r="I147" s="80">
        <f>0.039*K147^0.596*E147</f>
        <v>0</v>
      </c>
      <c r="J147" s="72" t="s">
        <v>124</v>
      </c>
      <c r="K147" s="80">
        <f>IFERROR('計算条件（既存）'!G31*365/E147,0)</f>
        <v>0</v>
      </c>
      <c r="L147" s="339" t="s">
        <v>265</v>
      </c>
      <c r="M147" s="1217" t="s">
        <v>266</v>
      </c>
      <c r="N147" s="1218"/>
      <c r="O147" s="1218"/>
      <c r="P147" s="1218"/>
      <c r="Q147" s="1218"/>
      <c r="R147" s="1422"/>
    </row>
    <row r="148" spans="1:18" ht="15.75">
      <c r="B148" s="1435"/>
      <c r="C148" s="338" t="s">
        <v>246</v>
      </c>
      <c r="D148" s="72"/>
      <c r="E148" s="357">
        <f>+⑤基本情報入力!Y53</f>
        <v>0</v>
      </c>
      <c r="F148" s="338" t="s">
        <v>267</v>
      </c>
      <c r="G148" s="79" t="s">
        <v>11</v>
      </c>
      <c r="H148" s="72" t="s">
        <v>141</v>
      </c>
      <c r="I148" s="80">
        <f>0.0024*K148^0.533*E148</f>
        <v>0</v>
      </c>
      <c r="J148" s="72" t="s">
        <v>124</v>
      </c>
      <c r="K148" s="80">
        <f>IFERROR('計算条件（既存）'!G31*365/E148,0)</f>
        <v>0</v>
      </c>
      <c r="L148" s="339" t="s">
        <v>265</v>
      </c>
      <c r="M148" s="1217" t="s">
        <v>266</v>
      </c>
      <c r="N148" s="1218"/>
      <c r="O148" s="1218"/>
      <c r="P148" s="1218"/>
      <c r="Q148" s="1218"/>
      <c r="R148" s="1422"/>
    </row>
    <row r="149" spans="1:18" ht="15.75">
      <c r="B149" s="1435"/>
      <c r="C149" s="355" t="s">
        <v>18</v>
      </c>
      <c r="D149" s="356" t="s">
        <v>249</v>
      </c>
      <c r="E149" s="357">
        <f>+⑤基本情報入力!Y55</f>
        <v>0</v>
      </c>
      <c r="F149" s="338" t="s">
        <v>17</v>
      </c>
      <c r="G149" s="79" t="s">
        <v>11</v>
      </c>
      <c r="H149" s="72" t="s">
        <v>313</v>
      </c>
      <c r="I149" s="85">
        <f>0.171*(K149)^0.39*E149</f>
        <v>0</v>
      </c>
      <c r="J149" s="72" t="s">
        <v>124</v>
      </c>
      <c r="K149" s="146">
        <f>IFERROR('計算条件（既存）'!G31*365/E149,0)</f>
        <v>0</v>
      </c>
      <c r="L149" s="339" t="s">
        <v>265</v>
      </c>
      <c r="M149" s="1217" t="s">
        <v>266</v>
      </c>
      <c r="N149" s="1218"/>
      <c r="O149" s="1218"/>
      <c r="P149" s="1218"/>
      <c r="Q149" s="1218"/>
      <c r="R149" s="1422"/>
    </row>
    <row r="150" spans="1:18" ht="15.75">
      <c r="B150" s="1435"/>
      <c r="C150" s="355" t="s">
        <v>9</v>
      </c>
      <c r="D150" s="356"/>
      <c r="E150" s="357">
        <f>+⑤基本情報入力!Y55</f>
        <v>0</v>
      </c>
      <c r="F150" s="338" t="s">
        <v>13</v>
      </c>
      <c r="G150" s="79" t="s">
        <v>11</v>
      </c>
      <c r="H150" s="355" t="s">
        <v>312</v>
      </c>
      <c r="I150" s="85">
        <f>0.283*K150^0.302*E150</f>
        <v>0</v>
      </c>
      <c r="J150" s="72" t="s">
        <v>124</v>
      </c>
      <c r="K150" s="146">
        <f>IFERROR(ROUNDUP('物質収支（既存）'!M84/2,-1)/E150,0)</f>
        <v>0</v>
      </c>
      <c r="L150" s="339" t="s">
        <v>1</v>
      </c>
      <c r="M150" s="1217" t="s">
        <v>251</v>
      </c>
      <c r="N150" s="1218"/>
      <c r="O150" s="1218"/>
      <c r="P150" s="1218"/>
      <c r="Q150" s="1218"/>
      <c r="R150" s="1422"/>
    </row>
    <row r="151" spans="1:18" ht="15.75">
      <c r="B151" s="1435"/>
      <c r="C151" s="355" t="s">
        <v>16</v>
      </c>
      <c r="D151" s="356"/>
      <c r="E151" s="357">
        <f>+⑤基本情報入力!Y55</f>
        <v>0</v>
      </c>
      <c r="F151" s="338" t="s">
        <v>13</v>
      </c>
      <c r="G151" s="79" t="s">
        <v>11</v>
      </c>
      <c r="H151" s="355" t="s">
        <v>311</v>
      </c>
      <c r="I151" s="85">
        <f>0.0796*K151^0.761*E151</f>
        <v>0</v>
      </c>
      <c r="J151" s="72" t="s">
        <v>124</v>
      </c>
      <c r="K151" s="146">
        <f>IFERROR(ROUNDUP('物質収支（既存）'!M84/24,0)/E151,0)</f>
        <v>0</v>
      </c>
      <c r="L151" s="339" t="s">
        <v>298</v>
      </c>
      <c r="M151" s="1217" t="s">
        <v>252</v>
      </c>
      <c r="N151" s="1218"/>
      <c r="O151" s="1218"/>
      <c r="P151" s="1218"/>
      <c r="Q151" s="1218"/>
      <c r="R151" s="1422"/>
    </row>
    <row r="152" spans="1:18" ht="15.75">
      <c r="B152" s="1435"/>
      <c r="C152" s="355" t="s">
        <v>10</v>
      </c>
      <c r="D152" s="356"/>
      <c r="E152" s="357">
        <f>+⑤基本情報入力!Y56</f>
        <v>0</v>
      </c>
      <c r="F152" s="338" t="s">
        <v>17</v>
      </c>
      <c r="G152" s="79" t="s">
        <v>11</v>
      </c>
      <c r="H152" s="72" t="s">
        <v>140</v>
      </c>
      <c r="I152" s="85">
        <f>0.362*K152^0.585*E152</f>
        <v>0</v>
      </c>
      <c r="J152" s="72" t="s">
        <v>124</v>
      </c>
      <c r="K152" s="222">
        <f>IFERROR('物質収支（既存）'!M41*365/E152,0)</f>
        <v>0</v>
      </c>
      <c r="L152" s="339" t="s">
        <v>562</v>
      </c>
      <c r="M152" s="1217" t="s">
        <v>268</v>
      </c>
      <c r="N152" s="1218"/>
      <c r="O152" s="1218"/>
      <c r="P152" s="1218"/>
      <c r="Q152" s="1218"/>
      <c r="R152" s="1422"/>
    </row>
    <row r="153" spans="1:18" ht="16.5" thickBot="1">
      <c r="B153" s="1435"/>
      <c r="C153" s="344" t="s">
        <v>310</v>
      </c>
      <c r="D153" s="343"/>
      <c r="E153" s="116">
        <f>+⑤基本情報入力!Y57</f>
        <v>0</v>
      </c>
      <c r="F153" s="344" t="s">
        <v>264</v>
      </c>
      <c r="G153" s="87" t="s">
        <v>11</v>
      </c>
      <c r="H153" s="88" t="s">
        <v>351</v>
      </c>
      <c r="I153" s="272">
        <f>0.287*K153^0.673*E153</f>
        <v>0</v>
      </c>
      <c r="J153" s="88" t="s">
        <v>124</v>
      </c>
      <c r="K153" s="224">
        <f>IFERROR('物質収支（既存）'!M41*365/E153,0)</f>
        <v>0</v>
      </c>
      <c r="L153" s="343" t="s">
        <v>562</v>
      </c>
      <c r="M153" s="1437" t="s">
        <v>563</v>
      </c>
      <c r="N153" s="1438"/>
      <c r="O153" s="1438"/>
      <c r="P153" s="1438"/>
      <c r="Q153" s="1438"/>
      <c r="R153" s="1439"/>
    </row>
    <row r="154" spans="1:18" ht="14.25" thickTop="1">
      <c r="B154" s="1436"/>
      <c r="C154" s="1434" t="s">
        <v>259</v>
      </c>
      <c r="D154" s="1434"/>
      <c r="E154" s="1434"/>
      <c r="F154" s="1434"/>
      <c r="G154" s="1434"/>
      <c r="H154" s="1434"/>
      <c r="I154" s="109">
        <f>SUM(I146:I153)</f>
        <v>0</v>
      </c>
      <c r="J154" s="112" t="s">
        <v>124</v>
      </c>
    </row>
    <row r="156" spans="1:18">
      <c r="A156" s="148" t="str">
        <f>+⑤基本情報入力!AD51</f>
        <v>⑥</v>
      </c>
      <c r="B156" s="58">
        <f>+⑤基本情報入力!AD52</f>
        <v>0</v>
      </c>
    </row>
    <row r="157" spans="1:18">
      <c r="B157" s="354" t="s">
        <v>230</v>
      </c>
      <c r="C157" s="337" t="s">
        <v>231</v>
      </c>
      <c r="D157" s="337" t="s">
        <v>232</v>
      </c>
      <c r="E157" s="337" t="s">
        <v>233</v>
      </c>
      <c r="F157" s="337" t="s">
        <v>23</v>
      </c>
      <c r="G157" s="1444" t="s">
        <v>235</v>
      </c>
      <c r="H157" s="1445"/>
      <c r="I157" s="1444" t="s">
        <v>236</v>
      </c>
      <c r="J157" s="1445"/>
      <c r="K157" s="1444" t="s">
        <v>237</v>
      </c>
      <c r="L157" s="1445"/>
      <c r="M157" s="1446" t="s">
        <v>291</v>
      </c>
      <c r="N157" s="1447"/>
      <c r="O157" s="77" t="s">
        <v>238</v>
      </c>
      <c r="P157" s="77" t="s">
        <v>239</v>
      </c>
      <c r="Q157" s="77" t="s">
        <v>240</v>
      </c>
      <c r="R157" s="337" t="s">
        <v>97</v>
      </c>
    </row>
    <row r="158" spans="1:18" ht="15.75">
      <c r="B158" s="1417"/>
      <c r="C158" s="1423" t="s">
        <v>241</v>
      </c>
      <c r="D158" s="1347" t="s">
        <v>242</v>
      </c>
      <c r="E158" s="357">
        <f>+⑤基本情報入力!AD53</f>
        <v>0</v>
      </c>
      <c r="F158" s="78" t="s">
        <v>3</v>
      </c>
      <c r="G158" s="79" t="s">
        <v>11</v>
      </c>
      <c r="H158" s="79" t="s">
        <v>294</v>
      </c>
      <c r="I158" s="80">
        <f>K158*(1-O158)*(P158+P158/((P158+1)^Q158-1))</f>
        <v>0</v>
      </c>
      <c r="J158" s="72" t="s">
        <v>124</v>
      </c>
      <c r="K158" s="70">
        <f>1.31*M158^0.611*E158</f>
        <v>0</v>
      </c>
      <c r="L158" s="79" t="s">
        <v>120</v>
      </c>
      <c r="M158" s="80">
        <f>IFERROR('計算条件（既存）'!H37/E158,0)</f>
        <v>0</v>
      </c>
      <c r="N158" s="1347" t="s">
        <v>243</v>
      </c>
      <c r="O158" s="81">
        <f>+⑤基本情報入力!$Y$61</f>
        <v>0.1</v>
      </c>
      <c r="P158" s="82">
        <f>+⑤基本情報入力!$AB$61</f>
        <v>2.3E-2</v>
      </c>
      <c r="Q158" s="83">
        <f>+⑤基本情報入力!$AE$61</f>
        <v>20</v>
      </c>
      <c r="R158" s="72" t="s">
        <v>244</v>
      </c>
    </row>
    <row r="159" spans="1:18" ht="15.75">
      <c r="B159" s="1417"/>
      <c r="C159" s="1453"/>
      <c r="D159" s="1349"/>
      <c r="E159" s="359">
        <v>0</v>
      </c>
      <c r="F159" s="78" t="s">
        <v>8</v>
      </c>
      <c r="G159" s="79" t="s">
        <v>11</v>
      </c>
      <c r="H159" s="79" t="s">
        <v>293</v>
      </c>
      <c r="I159" s="80">
        <f>K159*(1-O159)*(P159+P159/((P159+1)^Q159-1))</f>
        <v>0</v>
      </c>
      <c r="J159" s="72" t="s">
        <v>124</v>
      </c>
      <c r="K159" s="70">
        <f>1.24*M159^0.598*E159</f>
        <v>0</v>
      </c>
      <c r="L159" s="79" t="s">
        <v>120</v>
      </c>
      <c r="M159" s="80">
        <f>+M158</f>
        <v>0</v>
      </c>
      <c r="N159" s="1349"/>
      <c r="O159" s="81">
        <f>+⑤基本情報入力!$Y$63</f>
        <v>0.1</v>
      </c>
      <c r="P159" s="84">
        <f>+⑤基本情報入力!$AB$63</f>
        <v>2.3E-2</v>
      </c>
      <c r="Q159" s="83">
        <f>+⑤基本情報入力!$AE$63</f>
        <v>40</v>
      </c>
      <c r="R159" s="72" t="s">
        <v>244</v>
      </c>
    </row>
    <row r="160" spans="1:18" ht="15.75">
      <c r="B160" s="1417"/>
      <c r="C160" s="1423" t="s">
        <v>22</v>
      </c>
      <c r="D160" s="1347"/>
      <c r="E160" s="357">
        <f>+⑤基本情報入力!AD54</f>
        <v>0</v>
      </c>
      <c r="F160" s="78" t="s">
        <v>3</v>
      </c>
      <c r="G160" s="79" t="s">
        <v>11</v>
      </c>
      <c r="H160" s="79" t="s">
        <v>245</v>
      </c>
      <c r="I160" s="80">
        <f>K160*(1-O160)*(P160+P160/((P160+1)^Q160-1))</f>
        <v>0</v>
      </c>
      <c r="J160" s="72" t="s">
        <v>124</v>
      </c>
      <c r="K160" s="70">
        <f>22.7*M160^0.444*E160</f>
        <v>0</v>
      </c>
      <c r="L160" s="79" t="s">
        <v>120</v>
      </c>
      <c r="M160" s="80">
        <f>IFERROR('計算条件（既存）'!H37/E160,0)</f>
        <v>0</v>
      </c>
      <c r="N160" s="1347" t="s">
        <v>243</v>
      </c>
      <c r="O160" s="81">
        <f>+⑤基本情報入力!$Y$61</f>
        <v>0.1</v>
      </c>
      <c r="P160" s="82">
        <f>+⑤基本情報入力!$AB$61</f>
        <v>2.3E-2</v>
      </c>
      <c r="Q160" s="83">
        <f>+⑤基本情報入力!$AE$61</f>
        <v>20</v>
      </c>
      <c r="R160" s="72" t="s">
        <v>244</v>
      </c>
    </row>
    <row r="161" spans="1:18" ht="15.75">
      <c r="B161" s="1417"/>
      <c r="C161" s="1453"/>
      <c r="D161" s="1349"/>
      <c r="E161" s="359">
        <v>0</v>
      </c>
      <c r="F161" s="78" t="s">
        <v>8</v>
      </c>
      <c r="G161" s="79" t="s">
        <v>11</v>
      </c>
      <c r="H161" s="79" t="s">
        <v>295</v>
      </c>
      <c r="I161" s="80">
        <f>K161*(1-O161)*(P161+P161/((P161+1)^Q161-1))</f>
        <v>0</v>
      </c>
      <c r="J161" s="72" t="s">
        <v>124</v>
      </c>
      <c r="K161" s="70">
        <f>43.4*M161^0.373*E161</f>
        <v>0</v>
      </c>
      <c r="L161" s="79" t="s">
        <v>120</v>
      </c>
      <c r="M161" s="80">
        <f>+M160</f>
        <v>0</v>
      </c>
      <c r="N161" s="1349"/>
      <c r="O161" s="81">
        <f>+⑤基本情報入力!$Y$63</f>
        <v>0.1</v>
      </c>
      <c r="P161" s="84">
        <f>+⑤基本情報入力!$AB$63</f>
        <v>2.3E-2</v>
      </c>
      <c r="Q161" s="83">
        <f>+⑤基本情報入力!$AE$63</f>
        <v>40</v>
      </c>
      <c r="R161" s="72" t="s">
        <v>244</v>
      </c>
    </row>
    <row r="162" spans="1:18" ht="15.75">
      <c r="B162" s="1417"/>
      <c r="C162" s="338" t="s">
        <v>246</v>
      </c>
      <c r="D162" s="72"/>
      <c r="E162" s="357">
        <f>+⑤基本情報入力!AD53</f>
        <v>0</v>
      </c>
      <c r="F162" s="338" t="s">
        <v>4</v>
      </c>
      <c r="G162" s="79" t="s">
        <v>11</v>
      </c>
      <c r="H162" s="72" t="s">
        <v>292</v>
      </c>
      <c r="I162" s="80">
        <f>K162*(1-O162)*(P162+P162/((P162+1)^Q162-1))</f>
        <v>0</v>
      </c>
      <c r="J162" s="72" t="s">
        <v>124</v>
      </c>
      <c r="K162" s="69">
        <f>17.8*M162^0.464*E162</f>
        <v>0</v>
      </c>
      <c r="L162" s="72" t="s">
        <v>120</v>
      </c>
      <c r="M162" s="80">
        <f>IFERROR('計算条件（既存）'!H37/E162,0)</f>
        <v>0</v>
      </c>
      <c r="N162" s="339" t="s">
        <v>243</v>
      </c>
      <c r="O162" s="81">
        <f>+⑤基本情報入力!$Y$62</f>
        <v>0.1</v>
      </c>
      <c r="P162" s="84">
        <f>+⑤基本情報入力!$AB$62</f>
        <v>2.3E-2</v>
      </c>
      <c r="Q162" s="83">
        <f>+⑤基本情報入力!$AE$62</f>
        <v>15</v>
      </c>
      <c r="R162" s="72" t="s">
        <v>247</v>
      </c>
    </row>
    <row r="163" spans="1:18" ht="15.75">
      <c r="B163" s="1417"/>
      <c r="C163" s="1407" t="s">
        <v>18</v>
      </c>
      <c r="D163" s="1408" t="s">
        <v>249</v>
      </c>
      <c r="E163" s="357">
        <f>+⑤基本情報入力!AD55</f>
        <v>0</v>
      </c>
      <c r="F163" s="338" t="s">
        <v>3</v>
      </c>
      <c r="G163" s="79" t="s">
        <v>11</v>
      </c>
      <c r="H163" s="72" t="s">
        <v>134</v>
      </c>
      <c r="I163" s="80">
        <f t="shared" ref="I163:I172" si="5">K163*(1-O163)*(P163+P163/((P163+1)^Q163-1))</f>
        <v>0</v>
      </c>
      <c r="J163" s="72" t="s">
        <v>124</v>
      </c>
      <c r="K163" s="69">
        <f>124*(M163/500)^0.6*E163</f>
        <v>0</v>
      </c>
      <c r="L163" s="72" t="s">
        <v>120</v>
      </c>
      <c r="M163" s="146">
        <f>IFERROR(ROUNDUP('物質収支（既存）'!N10*25,-1)/E163,0)</f>
        <v>0</v>
      </c>
      <c r="N163" s="339" t="s">
        <v>1</v>
      </c>
      <c r="O163" s="81">
        <f>+⑤基本情報入力!$Y$61</f>
        <v>0.1</v>
      </c>
      <c r="P163" s="82">
        <f>+⑤基本情報入力!$AB$61</f>
        <v>2.3E-2</v>
      </c>
      <c r="Q163" s="83">
        <f>+⑤基本情報入力!$AE$61</f>
        <v>20</v>
      </c>
      <c r="R163" s="72" t="s">
        <v>561</v>
      </c>
    </row>
    <row r="164" spans="1:18" ht="15.75">
      <c r="B164" s="1417"/>
      <c r="C164" s="1407"/>
      <c r="D164" s="1408"/>
      <c r="E164" s="359">
        <v>0</v>
      </c>
      <c r="F164" s="338" t="s">
        <v>8</v>
      </c>
      <c r="G164" s="79" t="s">
        <v>11</v>
      </c>
      <c r="H164" s="72" t="s">
        <v>135</v>
      </c>
      <c r="I164" s="80">
        <f t="shared" si="5"/>
        <v>0</v>
      </c>
      <c r="J164" s="72" t="s">
        <v>124</v>
      </c>
      <c r="K164" s="69">
        <f>44.1*(M164/500)^0.6*E164</f>
        <v>0</v>
      </c>
      <c r="L164" s="72" t="s">
        <v>120</v>
      </c>
      <c r="M164" s="146">
        <f>+M163</f>
        <v>0</v>
      </c>
      <c r="N164" s="339" t="s">
        <v>1</v>
      </c>
      <c r="O164" s="81">
        <f>+⑤基本情報入力!$Y$63</f>
        <v>0.1</v>
      </c>
      <c r="P164" s="84">
        <f>+⑤基本情報入力!$AB$63</f>
        <v>2.3E-2</v>
      </c>
      <c r="Q164" s="83">
        <f>+⑤基本情報入力!$AE$63</f>
        <v>40</v>
      </c>
      <c r="R164" s="86"/>
    </row>
    <row r="165" spans="1:18" ht="15.75">
      <c r="B165" s="1417"/>
      <c r="C165" s="338" t="s">
        <v>9</v>
      </c>
      <c r="D165" s="72"/>
      <c r="E165" s="357">
        <f>+⑤基本情報入力!AD55</f>
        <v>0</v>
      </c>
      <c r="F165" s="338" t="s">
        <v>3</v>
      </c>
      <c r="G165" s="79" t="s">
        <v>11</v>
      </c>
      <c r="H165" s="72" t="s">
        <v>300</v>
      </c>
      <c r="I165" s="80">
        <f t="shared" si="5"/>
        <v>0</v>
      </c>
      <c r="J165" s="72" t="s">
        <v>124</v>
      </c>
      <c r="K165" s="69">
        <f>10.4*M165^0.437*E165</f>
        <v>0</v>
      </c>
      <c r="L165" s="72" t="s">
        <v>120</v>
      </c>
      <c r="M165" s="146">
        <f>IFERROR(ROUNDUP('物質収支（既存）'!N84/2,-1)/E165,0)</f>
        <v>0</v>
      </c>
      <c r="N165" s="339" t="s">
        <v>1</v>
      </c>
      <c r="O165" s="81">
        <f>+⑤基本情報入力!$Y$61</f>
        <v>0.1</v>
      </c>
      <c r="P165" s="82">
        <f>+⑤基本情報入力!$AB$61</f>
        <v>2.3E-2</v>
      </c>
      <c r="Q165" s="83">
        <f>+⑤基本情報入力!$AE$61</f>
        <v>20</v>
      </c>
      <c r="R165" s="74" t="s">
        <v>251</v>
      </c>
    </row>
    <row r="166" spans="1:18" ht="15.75">
      <c r="B166" s="1417"/>
      <c r="C166" s="338" t="s">
        <v>16</v>
      </c>
      <c r="D166" s="72"/>
      <c r="E166" s="357">
        <f>+⑤基本情報入力!AD55</f>
        <v>0</v>
      </c>
      <c r="F166" s="338" t="s">
        <v>3</v>
      </c>
      <c r="G166" s="79" t="s">
        <v>11</v>
      </c>
      <c r="H166" s="72" t="s">
        <v>299</v>
      </c>
      <c r="I166" s="80">
        <f t="shared" si="5"/>
        <v>0</v>
      </c>
      <c r="J166" s="72" t="s">
        <v>124</v>
      </c>
      <c r="K166" s="69">
        <f>0.878*M166^0.761*E166</f>
        <v>0</v>
      </c>
      <c r="L166" s="72" t="s">
        <v>120</v>
      </c>
      <c r="M166" s="146">
        <f>IFERROR(ROUNDUP('物質収支（既存）'!N84/24,0)/E166,0)</f>
        <v>0</v>
      </c>
      <c r="N166" s="339" t="s">
        <v>298</v>
      </c>
      <c r="O166" s="81">
        <f>+⑤基本情報入力!$Y$61</f>
        <v>0.1</v>
      </c>
      <c r="P166" s="82">
        <f>+⑤基本情報入力!$AB$61</f>
        <v>2.3E-2</v>
      </c>
      <c r="Q166" s="83">
        <f>+⑤基本情報入力!$AE$61</f>
        <v>20</v>
      </c>
      <c r="R166" s="74" t="s">
        <v>252</v>
      </c>
    </row>
    <row r="167" spans="1:18" ht="15.75">
      <c r="A167" s="58"/>
      <c r="B167" s="1417"/>
      <c r="C167" s="1409" t="s">
        <v>10</v>
      </c>
      <c r="D167" s="1412"/>
      <c r="E167" s="357">
        <f>+⑤基本情報入力!AD56</f>
        <v>0</v>
      </c>
      <c r="F167" s="338" t="s">
        <v>3</v>
      </c>
      <c r="G167" s="79" t="s">
        <v>11</v>
      </c>
      <c r="H167" s="72" t="s">
        <v>297</v>
      </c>
      <c r="I167" s="80">
        <f t="shared" si="5"/>
        <v>0</v>
      </c>
      <c r="J167" s="72" t="s">
        <v>124</v>
      </c>
      <c r="K167" s="69">
        <f>31.9*M167^0.971*E167</f>
        <v>0</v>
      </c>
      <c r="L167" s="72" t="s">
        <v>120</v>
      </c>
      <c r="M167" s="222">
        <f>IFERROR('物質収支（既存）'!N41/E167,0)</f>
        <v>0</v>
      </c>
      <c r="N167" s="339" t="s">
        <v>0</v>
      </c>
      <c r="O167" s="81">
        <f>+⑤基本情報入力!$Y$61</f>
        <v>0.1</v>
      </c>
      <c r="P167" s="82">
        <f>+⑤基本情報入力!$AB$61</f>
        <v>2.3E-2</v>
      </c>
      <c r="Q167" s="83">
        <f>+⑤基本情報入力!$AE$61</f>
        <v>20</v>
      </c>
      <c r="R167" s="72" t="s">
        <v>253</v>
      </c>
    </row>
    <row r="168" spans="1:18" ht="15.75" customHeight="1">
      <c r="A168" s="58"/>
      <c r="B168" s="1417"/>
      <c r="C168" s="1410"/>
      <c r="D168" s="1413"/>
      <c r="E168" s="357">
        <f>+⑤基本情報入力!AD56</f>
        <v>0</v>
      </c>
      <c r="F168" s="338" t="s">
        <v>4</v>
      </c>
      <c r="G168" s="79" t="s">
        <v>11</v>
      </c>
      <c r="H168" s="72" t="s">
        <v>136</v>
      </c>
      <c r="I168" s="80">
        <f t="shared" si="5"/>
        <v>0</v>
      </c>
      <c r="J168" s="72" t="s">
        <v>124</v>
      </c>
      <c r="K168" s="69">
        <f>6.59*M168^0.809*E168</f>
        <v>0</v>
      </c>
      <c r="L168" s="72" t="s">
        <v>120</v>
      </c>
      <c r="M168" s="222">
        <f>+M167</f>
        <v>0</v>
      </c>
      <c r="N168" s="339" t="s">
        <v>0</v>
      </c>
      <c r="O168" s="81">
        <f>+⑤基本情報入力!$Y$62</f>
        <v>0.1</v>
      </c>
      <c r="P168" s="84">
        <f>+⑤基本情報入力!$AB$62</f>
        <v>2.3E-2</v>
      </c>
      <c r="Q168" s="83">
        <f>+⑤基本情報入力!$AE$62</f>
        <v>15</v>
      </c>
      <c r="R168" s="72"/>
    </row>
    <row r="169" spans="1:18" ht="15.75">
      <c r="A169" s="58"/>
      <c r="B169" s="1417"/>
      <c r="C169" s="1411"/>
      <c r="D169" s="1414"/>
      <c r="E169" s="359">
        <v>0</v>
      </c>
      <c r="F169" s="338" t="s">
        <v>5</v>
      </c>
      <c r="G169" s="79" t="s">
        <v>11</v>
      </c>
      <c r="H169" s="72" t="s">
        <v>137</v>
      </c>
      <c r="I169" s="80">
        <f t="shared" si="5"/>
        <v>0</v>
      </c>
      <c r="J169" s="72" t="s">
        <v>124</v>
      </c>
      <c r="K169" s="69">
        <f>12.3*M169^0.941*E169</f>
        <v>0</v>
      </c>
      <c r="L169" s="72" t="s">
        <v>120</v>
      </c>
      <c r="M169" s="222">
        <f>+M167</f>
        <v>0</v>
      </c>
      <c r="N169" s="339" t="s">
        <v>0</v>
      </c>
      <c r="O169" s="81">
        <f>+⑤基本情報入力!$Y$63</f>
        <v>0.1</v>
      </c>
      <c r="P169" s="84">
        <f>+⑤基本情報入力!$AB$63</f>
        <v>2.3E-2</v>
      </c>
      <c r="Q169" s="83">
        <f>+⑤基本情報入力!$AE$63</f>
        <v>40</v>
      </c>
      <c r="R169" s="72"/>
    </row>
    <row r="170" spans="1:18" ht="15.75">
      <c r="A170" s="58"/>
      <c r="B170" s="1417"/>
      <c r="C170" s="1423" t="s">
        <v>310</v>
      </c>
      <c r="D170" s="1347"/>
      <c r="E170" s="357">
        <f>+⑤基本情報入力!AD57</f>
        <v>0</v>
      </c>
      <c r="F170" s="338" t="s">
        <v>3</v>
      </c>
      <c r="G170" s="144" t="s">
        <v>11</v>
      </c>
      <c r="H170" s="72" t="s">
        <v>317</v>
      </c>
      <c r="I170" s="94">
        <f t="shared" si="5"/>
        <v>0</v>
      </c>
      <c r="J170" s="97" t="s">
        <v>124</v>
      </c>
      <c r="K170" s="69">
        <f>188.8*M170^0.597*E170</f>
        <v>0</v>
      </c>
      <c r="L170" s="97" t="s">
        <v>120</v>
      </c>
      <c r="M170" s="222">
        <f>IFERROR('物質収支（既存）'!N41/E170,0)</f>
        <v>0</v>
      </c>
      <c r="N170" s="341" t="s">
        <v>0</v>
      </c>
      <c r="O170" s="81">
        <f>+⑤基本情報入力!$Y$61</f>
        <v>0.1</v>
      </c>
      <c r="P170" s="82">
        <f>+⑤基本情報入力!$AB$61</f>
        <v>2.3E-2</v>
      </c>
      <c r="Q170" s="83">
        <f>+⑤基本情報入力!$AE$61</f>
        <v>20</v>
      </c>
      <c r="R170" s="72" t="s">
        <v>316</v>
      </c>
    </row>
    <row r="171" spans="1:18" ht="15.75">
      <c r="A171" s="58"/>
      <c r="B171" s="1417"/>
      <c r="C171" s="1424"/>
      <c r="D171" s="1348"/>
      <c r="E171" s="357">
        <f>+⑤基本情報入力!AD57</f>
        <v>0</v>
      </c>
      <c r="F171" s="338" t="s">
        <v>4</v>
      </c>
      <c r="G171" s="144" t="s">
        <v>11</v>
      </c>
      <c r="H171" s="72" t="s">
        <v>315</v>
      </c>
      <c r="I171" s="94">
        <f t="shared" si="5"/>
        <v>0</v>
      </c>
      <c r="J171" s="97" t="s">
        <v>124</v>
      </c>
      <c r="K171" s="69">
        <f>72.6*M171^0.539*E171</f>
        <v>0</v>
      </c>
      <c r="L171" s="97" t="s">
        <v>120</v>
      </c>
      <c r="M171" s="222">
        <f>+M170</f>
        <v>0</v>
      </c>
      <c r="N171" s="341" t="s">
        <v>0</v>
      </c>
      <c r="O171" s="81">
        <f>+⑤基本情報入力!$Y$62</f>
        <v>0.1</v>
      </c>
      <c r="P171" s="84">
        <f>+⑤基本情報入力!$AB$62</f>
        <v>2.3E-2</v>
      </c>
      <c r="Q171" s="83">
        <f>+⑤基本情報入力!$AE$62</f>
        <v>15</v>
      </c>
      <c r="R171" s="72"/>
    </row>
    <row r="172" spans="1:18" ht="16.5" thickBot="1">
      <c r="A172" s="58"/>
      <c r="B172" s="1417"/>
      <c r="C172" s="1425"/>
      <c r="D172" s="1426"/>
      <c r="E172" s="116">
        <v>0</v>
      </c>
      <c r="F172" s="344" t="s">
        <v>8</v>
      </c>
      <c r="G172" s="87" t="s">
        <v>11</v>
      </c>
      <c r="H172" s="88" t="s">
        <v>314</v>
      </c>
      <c r="I172" s="89">
        <f t="shared" si="5"/>
        <v>0</v>
      </c>
      <c r="J172" s="88" t="s">
        <v>124</v>
      </c>
      <c r="K172" s="90">
        <f>136.1*M172^0.38*E172</f>
        <v>0</v>
      </c>
      <c r="L172" s="88" t="s">
        <v>120</v>
      </c>
      <c r="M172" s="224">
        <f>+M170</f>
        <v>0</v>
      </c>
      <c r="N172" s="343" t="s">
        <v>0</v>
      </c>
      <c r="O172" s="91">
        <f>+⑤基本情報入力!$Y$63</f>
        <v>0.1</v>
      </c>
      <c r="P172" s="92">
        <f>+⑤基本情報入力!$AB$63</f>
        <v>2.3E-2</v>
      </c>
      <c r="Q172" s="93">
        <f>+⑤基本情報入力!$AE$63</f>
        <v>40</v>
      </c>
      <c r="R172" s="88"/>
    </row>
    <row r="173" spans="1:18" ht="14.25" thickTop="1">
      <c r="B173" s="1418"/>
      <c r="C173" s="1448" t="s">
        <v>259</v>
      </c>
      <c r="D173" s="1449"/>
      <c r="E173" s="1449"/>
      <c r="F173" s="1449"/>
      <c r="G173" s="1449"/>
      <c r="H173" s="1450"/>
      <c r="I173" s="109">
        <f>SUM(I158:I172)</f>
        <v>0</v>
      </c>
      <c r="J173" s="112" t="s">
        <v>124</v>
      </c>
      <c r="K173" s="111">
        <f>SUM(K158:K172)</f>
        <v>0</v>
      </c>
      <c r="L173" s="112" t="s">
        <v>120</v>
      </c>
      <c r="M173" s="113"/>
      <c r="N173" s="336"/>
      <c r="O173" s="99"/>
      <c r="P173" s="100"/>
      <c r="Q173" s="101"/>
      <c r="R173" s="101"/>
    </row>
    <row r="174" spans="1:18">
      <c r="B174" s="335" t="s">
        <v>260</v>
      </c>
      <c r="C174" s="334" t="s">
        <v>231</v>
      </c>
      <c r="D174" s="334" t="s">
        <v>232</v>
      </c>
      <c r="E174" s="334" t="s">
        <v>233</v>
      </c>
      <c r="F174" s="334" t="s">
        <v>273</v>
      </c>
      <c r="G174" s="1451" t="s">
        <v>235</v>
      </c>
      <c r="H174" s="1452"/>
      <c r="I174" s="1451" t="s">
        <v>237</v>
      </c>
      <c r="J174" s="1452"/>
      <c r="K174" s="1454" t="s">
        <v>291</v>
      </c>
      <c r="L174" s="1455"/>
      <c r="M174" s="1451" t="s">
        <v>97</v>
      </c>
      <c r="N174" s="1456"/>
      <c r="O174" s="1456"/>
      <c r="P174" s="1456"/>
      <c r="Q174" s="1456"/>
      <c r="R174" s="1452"/>
    </row>
    <row r="175" spans="1:18" ht="15.75">
      <c r="B175" s="1435"/>
      <c r="C175" s="338" t="s">
        <v>241</v>
      </c>
      <c r="D175" s="339" t="s">
        <v>242</v>
      </c>
      <c r="E175" s="357">
        <f>+⑤基本情報入力!AD53</f>
        <v>0</v>
      </c>
      <c r="F175" s="78" t="s">
        <v>262</v>
      </c>
      <c r="G175" s="79" t="s">
        <v>11</v>
      </c>
      <c r="H175" s="72" t="s">
        <v>290</v>
      </c>
      <c r="I175" s="80">
        <f>0.03*K175^0.628*E175</f>
        <v>0</v>
      </c>
      <c r="J175" s="72" t="s">
        <v>124</v>
      </c>
      <c r="K175" s="80">
        <f>IFERROR('計算条件（既存）'!G37/E175,0)</f>
        <v>0</v>
      </c>
      <c r="L175" s="339" t="s">
        <v>243</v>
      </c>
      <c r="M175" s="1217" t="s">
        <v>263</v>
      </c>
      <c r="N175" s="1218"/>
      <c r="O175" s="1218"/>
      <c r="P175" s="1218"/>
      <c r="Q175" s="1218"/>
      <c r="R175" s="1422"/>
    </row>
    <row r="176" spans="1:18" ht="15.75">
      <c r="B176" s="1435"/>
      <c r="C176" s="338" t="s">
        <v>22</v>
      </c>
      <c r="D176" s="339"/>
      <c r="E176" s="357">
        <f>+⑤基本情報入力!AD54</f>
        <v>0</v>
      </c>
      <c r="F176" s="78" t="s">
        <v>308</v>
      </c>
      <c r="G176" s="79" t="s">
        <v>11</v>
      </c>
      <c r="H176" s="72" t="s">
        <v>142</v>
      </c>
      <c r="I176" s="80">
        <f>0.039*K176^0.596*E176</f>
        <v>0</v>
      </c>
      <c r="J176" s="72" t="s">
        <v>124</v>
      </c>
      <c r="K176" s="80">
        <f>IFERROR('計算条件（既存）'!G37*365/E176,0)</f>
        <v>0</v>
      </c>
      <c r="L176" s="339" t="s">
        <v>265</v>
      </c>
      <c r="M176" s="1217" t="s">
        <v>266</v>
      </c>
      <c r="N176" s="1218"/>
      <c r="O176" s="1218"/>
      <c r="P176" s="1218"/>
      <c r="Q176" s="1218"/>
      <c r="R176" s="1422"/>
    </row>
    <row r="177" spans="1:18" ht="15.75">
      <c r="B177" s="1435"/>
      <c r="C177" s="338" t="s">
        <v>246</v>
      </c>
      <c r="D177" s="72"/>
      <c r="E177" s="357">
        <f>+⑤基本情報入力!AD53</f>
        <v>0</v>
      </c>
      <c r="F177" s="338" t="s">
        <v>267</v>
      </c>
      <c r="G177" s="79" t="s">
        <v>11</v>
      </c>
      <c r="H177" s="72" t="s">
        <v>141</v>
      </c>
      <c r="I177" s="80">
        <f>0.0024*K177^0.533*E177</f>
        <v>0</v>
      </c>
      <c r="J177" s="72" t="s">
        <v>124</v>
      </c>
      <c r="K177" s="80">
        <f>IFERROR('計算条件（既存）'!G37*365/E177,0)</f>
        <v>0</v>
      </c>
      <c r="L177" s="339" t="s">
        <v>265</v>
      </c>
      <c r="M177" s="1217" t="s">
        <v>266</v>
      </c>
      <c r="N177" s="1218"/>
      <c r="O177" s="1218"/>
      <c r="P177" s="1218"/>
      <c r="Q177" s="1218"/>
      <c r="R177" s="1422"/>
    </row>
    <row r="178" spans="1:18" ht="15.75">
      <c r="B178" s="1435"/>
      <c r="C178" s="355" t="s">
        <v>18</v>
      </c>
      <c r="D178" s="356" t="s">
        <v>249</v>
      </c>
      <c r="E178" s="357">
        <f>+⑤基本情報入力!AD55</f>
        <v>0</v>
      </c>
      <c r="F178" s="338" t="s">
        <v>17</v>
      </c>
      <c r="G178" s="79" t="s">
        <v>11</v>
      </c>
      <c r="H178" s="72" t="s">
        <v>313</v>
      </c>
      <c r="I178" s="85">
        <f>0.171*(K178)^0.39*E178</f>
        <v>0</v>
      </c>
      <c r="J178" s="72" t="s">
        <v>124</v>
      </c>
      <c r="K178" s="146">
        <f>IFERROR('計算条件（既存）'!G37*365/E178,0)</f>
        <v>0</v>
      </c>
      <c r="L178" s="339" t="s">
        <v>265</v>
      </c>
      <c r="M178" s="1217" t="s">
        <v>266</v>
      </c>
      <c r="N178" s="1218"/>
      <c r="O178" s="1218"/>
      <c r="P178" s="1218"/>
      <c r="Q178" s="1218"/>
      <c r="R178" s="1422"/>
    </row>
    <row r="179" spans="1:18" ht="15.75">
      <c r="B179" s="1435"/>
      <c r="C179" s="355" t="s">
        <v>9</v>
      </c>
      <c r="D179" s="356"/>
      <c r="E179" s="357">
        <f>+⑤基本情報入力!AD55</f>
        <v>0</v>
      </c>
      <c r="F179" s="338" t="s">
        <v>13</v>
      </c>
      <c r="G179" s="79" t="s">
        <v>11</v>
      </c>
      <c r="H179" s="355" t="s">
        <v>312</v>
      </c>
      <c r="I179" s="85">
        <f>0.283*K179^0.302*E179</f>
        <v>0</v>
      </c>
      <c r="J179" s="72" t="s">
        <v>124</v>
      </c>
      <c r="K179" s="146">
        <f>IFERROR(ROUNDUP('物質収支（既存）'!N84/2,-1)/E179,0)</f>
        <v>0</v>
      </c>
      <c r="L179" s="339" t="s">
        <v>1</v>
      </c>
      <c r="M179" s="1217" t="s">
        <v>251</v>
      </c>
      <c r="N179" s="1218"/>
      <c r="O179" s="1218"/>
      <c r="P179" s="1218"/>
      <c r="Q179" s="1218"/>
      <c r="R179" s="1422"/>
    </row>
    <row r="180" spans="1:18" ht="15.75">
      <c r="B180" s="1435"/>
      <c r="C180" s="355" t="s">
        <v>16</v>
      </c>
      <c r="D180" s="356"/>
      <c r="E180" s="357">
        <f>+⑤基本情報入力!AD55</f>
        <v>0</v>
      </c>
      <c r="F180" s="338" t="s">
        <v>13</v>
      </c>
      <c r="G180" s="79" t="s">
        <v>11</v>
      </c>
      <c r="H180" s="355" t="s">
        <v>311</v>
      </c>
      <c r="I180" s="85">
        <f>0.0796*K180^0.761*E180</f>
        <v>0</v>
      </c>
      <c r="J180" s="72" t="s">
        <v>124</v>
      </c>
      <c r="K180" s="146">
        <f>IFERROR(ROUNDUP('物質収支（既存）'!N84/24,0)/E180,0)</f>
        <v>0</v>
      </c>
      <c r="L180" s="339" t="s">
        <v>298</v>
      </c>
      <c r="M180" s="1217" t="s">
        <v>252</v>
      </c>
      <c r="N180" s="1218"/>
      <c r="O180" s="1218"/>
      <c r="P180" s="1218"/>
      <c r="Q180" s="1218"/>
      <c r="R180" s="1422"/>
    </row>
    <row r="181" spans="1:18" ht="15.75">
      <c r="B181" s="1435"/>
      <c r="C181" s="355" t="s">
        <v>10</v>
      </c>
      <c r="D181" s="356"/>
      <c r="E181" s="357">
        <f>+⑤基本情報入力!AD56</f>
        <v>0</v>
      </c>
      <c r="F181" s="338" t="s">
        <v>17</v>
      </c>
      <c r="G181" s="79" t="s">
        <v>11</v>
      </c>
      <c r="H181" s="72" t="s">
        <v>140</v>
      </c>
      <c r="I181" s="85">
        <f>0.362*K181^0.585*E181</f>
        <v>0</v>
      </c>
      <c r="J181" s="72" t="s">
        <v>124</v>
      </c>
      <c r="K181" s="222">
        <f>IFERROR('物質収支（既存）'!N41*365/E181,0)</f>
        <v>0</v>
      </c>
      <c r="L181" s="339" t="s">
        <v>562</v>
      </c>
      <c r="M181" s="1217" t="s">
        <v>268</v>
      </c>
      <c r="N181" s="1218"/>
      <c r="O181" s="1218"/>
      <c r="P181" s="1218"/>
      <c r="Q181" s="1218"/>
      <c r="R181" s="1422"/>
    </row>
    <row r="182" spans="1:18" ht="16.5" thickBot="1">
      <c r="B182" s="1435"/>
      <c r="C182" s="344" t="s">
        <v>310</v>
      </c>
      <c r="D182" s="343"/>
      <c r="E182" s="116">
        <f>+⑤基本情報入力!AD57</f>
        <v>0</v>
      </c>
      <c r="F182" s="344" t="s">
        <v>264</v>
      </c>
      <c r="G182" s="87" t="s">
        <v>11</v>
      </c>
      <c r="H182" s="88" t="s">
        <v>351</v>
      </c>
      <c r="I182" s="272">
        <f>0.287*K182^0.673*E182</f>
        <v>0</v>
      </c>
      <c r="J182" s="88" t="s">
        <v>124</v>
      </c>
      <c r="K182" s="224">
        <f>IFERROR('物質収支（既存）'!N41*365/E182,0)</f>
        <v>0</v>
      </c>
      <c r="L182" s="343" t="s">
        <v>562</v>
      </c>
      <c r="M182" s="1437" t="s">
        <v>563</v>
      </c>
      <c r="N182" s="1438"/>
      <c r="O182" s="1438"/>
      <c r="P182" s="1438"/>
      <c r="Q182" s="1438"/>
      <c r="R182" s="1439"/>
    </row>
    <row r="183" spans="1:18" ht="14.25" thickTop="1">
      <c r="B183" s="1436"/>
      <c r="C183" s="1427" t="s">
        <v>259</v>
      </c>
      <c r="D183" s="1428"/>
      <c r="E183" s="1428"/>
      <c r="F183" s="1428"/>
      <c r="G183" s="1428"/>
      <c r="H183" s="1429"/>
      <c r="I183" s="109">
        <f>SUM(I175:I182)</f>
        <v>0</v>
      </c>
      <c r="J183" s="112" t="s">
        <v>124</v>
      </c>
      <c r="K183" s="118"/>
      <c r="L183" s="336"/>
      <c r="M183" s="1431"/>
      <c r="N183" s="1431"/>
      <c r="O183" s="1431"/>
      <c r="P183" s="1431"/>
      <c r="Q183" s="1431"/>
      <c r="R183" s="1431"/>
    </row>
    <row r="185" spans="1:18">
      <c r="A185" s="148" t="str">
        <f>+⑤基本情報入力!AI51</f>
        <v>⑦</v>
      </c>
      <c r="B185" s="58">
        <f>+⑤基本情報入力!AI52</f>
        <v>0</v>
      </c>
    </row>
    <row r="186" spans="1:18">
      <c r="B186" s="354" t="s">
        <v>230</v>
      </c>
      <c r="C186" s="337" t="s">
        <v>231</v>
      </c>
      <c r="D186" s="337" t="s">
        <v>232</v>
      </c>
      <c r="E186" s="337" t="s">
        <v>233</v>
      </c>
      <c r="F186" s="337" t="s">
        <v>23</v>
      </c>
      <c r="G186" s="1444" t="s">
        <v>235</v>
      </c>
      <c r="H186" s="1445"/>
      <c r="I186" s="1444" t="s">
        <v>236</v>
      </c>
      <c r="J186" s="1445"/>
      <c r="K186" s="1444" t="s">
        <v>237</v>
      </c>
      <c r="L186" s="1445"/>
      <c r="M186" s="1446" t="s">
        <v>291</v>
      </c>
      <c r="N186" s="1447"/>
      <c r="O186" s="77" t="s">
        <v>238</v>
      </c>
      <c r="P186" s="77" t="s">
        <v>239</v>
      </c>
      <c r="Q186" s="77" t="s">
        <v>240</v>
      </c>
      <c r="R186" s="337" t="s">
        <v>97</v>
      </c>
    </row>
    <row r="187" spans="1:18" ht="15.75">
      <c r="B187" s="1417"/>
      <c r="C187" s="1423" t="s">
        <v>241</v>
      </c>
      <c r="D187" s="1347" t="s">
        <v>242</v>
      </c>
      <c r="E187" s="357">
        <f>+⑤基本情報入力!AI53</f>
        <v>0</v>
      </c>
      <c r="F187" s="78" t="s">
        <v>3</v>
      </c>
      <c r="G187" s="79" t="s">
        <v>11</v>
      </c>
      <c r="H187" s="79" t="s">
        <v>294</v>
      </c>
      <c r="I187" s="80">
        <f>K187*(1-O187)*(P187+P187/((P187+1)^Q187-1))</f>
        <v>0</v>
      </c>
      <c r="J187" s="72" t="s">
        <v>124</v>
      </c>
      <c r="K187" s="70">
        <f>1.31*M187^0.611*E187</f>
        <v>0</v>
      </c>
      <c r="L187" s="79" t="s">
        <v>120</v>
      </c>
      <c r="M187" s="80">
        <f>IFERROR('計算条件（既存）'!H43/E187,0)</f>
        <v>0</v>
      </c>
      <c r="N187" s="1347" t="s">
        <v>243</v>
      </c>
      <c r="O187" s="81">
        <f>+⑤基本情報入力!$Y$61</f>
        <v>0.1</v>
      </c>
      <c r="P187" s="82">
        <f>+⑤基本情報入力!$AB$61</f>
        <v>2.3E-2</v>
      </c>
      <c r="Q187" s="83">
        <f>+⑤基本情報入力!$AE$61</f>
        <v>20</v>
      </c>
      <c r="R187" s="72" t="s">
        <v>244</v>
      </c>
    </row>
    <row r="188" spans="1:18" ht="15.75">
      <c r="B188" s="1417"/>
      <c r="C188" s="1453"/>
      <c r="D188" s="1349"/>
      <c r="E188" s="359">
        <v>0</v>
      </c>
      <c r="F188" s="78" t="s">
        <v>8</v>
      </c>
      <c r="G188" s="79" t="s">
        <v>11</v>
      </c>
      <c r="H188" s="79" t="s">
        <v>293</v>
      </c>
      <c r="I188" s="80">
        <f>K188*(1-O188)*(P188+P188/((P188+1)^Q188-1))</f>
        <v>0</v>
      </c>
      <c r="J188" s="72" t="s">
        <v>124</v>
      </c>
      <c r="K188" s="70">
        <f>1.24*M188^0.598*E188</f>
        <v>0</v>
      </c>
      <c r="L188" s="79" t="s">
        <v>120</v>
      </c>
      <c r="M188" s="80">
        <f>+M187</f>
        <v>0</v>
      </c>
      <c r="N188" s="1349"/>
      <c r="O188" s="81">
        <f>+⑤基本情報入力!$Y$63</f>
        <v>0.1</v>
      </c>
      <c r="P188" s="84">
        <f>+⑤基本情報入力!$AB$63</f>
        <v>2.3E-2</v>
      </c>
      <c r="Q188" s="83">
        <f>+⑤基本情報入力!$AE$63</f>
        <v>40</v>
      </c>
      <c r="R188" s="72" t="s">
        <v>244</v>
      </c>
    </row>
    <row r="189" spans="1:18" ht="15.75">
      <c r="B189" s="1417"/>
      <c r="C189" s="1423" t="s">
        <v>22</v>
      </c>
      <c r="D189" s="1347"/>
      <c r="E189" s="357">
        <f>+⑤基本情報入力!AI54</f>
        <v>0</v>
      </c>
      <c r="F189" s="78" t="s">
        <v>3</v>
      </c>
      <c r="G189" s="79" t="s">
        <v>11</v>
      </c>
      <c r="H189" s="79" t="s">
        <v>245</v>
      </c>
      <c r="I189" s="80">
        <f>K189*(1-O189)*(P189+P189/((P189+1)^Q189-1))</f>
        <v>0</v>
      </c>
      <c r="J189" s="72" t="s">
        <v>124</v>
      </c>
      <c r="K189" s="70">
        <f>22.7*M189^0.444*E189</f>
        <v>0</v>
      </c>
      <c r="L189" s="79" t="s">
        <v>120</v>
      </c>
      <c r="M189" s="80">
        <f>IFERROR('計算条件（既存）'!H43/E189,0)</f>
        <v>0</v>
      </c>
      <c r="N189" s="1347" t="s">
        <v>243</v>
      </c>
      <c r="O189" s="81">
        <f>+⑤基本情報入力!$Y$61</f>
        <v>0.1</v>
      </c>
      <c r="P189" s="82">
        <f>+⑤基本情報入力!$AB$61</f>
        <v>2.3E-2</v>
      </c>
      <c r="Q189" s="83">
        <f>+⑤基本情報入力!$AE$61</f>
        <v>20</v>
      </c>
      <c r="R189" s="72" t="s">
        <v>244</v>
      </c>
    </row>
    <row r="190" spans="1:18" ht="15.75">
      <c r="B190" s="1417"/>
      <c r="C190" s="1453"/>
      <c r="D190" s="1349"/>
      <c r="E190" s="359">
        <v>0</v>
      </c>
      <c r="F190" s="78" t="s">
        <v>8</v>
      </c>
      <c r="G190" s="79" t="s">
        <v>11</v>
      </c>
      <c r="H190" s="79" t="s">
        <v>295</v>
      </c>
      <c r="I190" s="80">
        <f>K190*(1-O190)*(P190+P190/((P190+1)^Q190-1))</f>
        <v>0</v>
      </c>
      <c r="J190" s="72" t="s">
        <v>124</v>
      </c>
      <c r="K190" s="70">
        <f>43.4*M190^0.373*E190</f>
        <v>0</v>
      </c>
      <c r="L190" s="79" t="s">
        <v>120</v>
      </c>
      <c r="M190" s="80">
        <f>+M189</f>
        <v>0</v>
      </c>
      <c r="N190" s="1349"/>
      <c r="O190" s="81">
        <f>+⑤基本情報入力!$Y$63</f>
        <v>0.1</v>
      </c>
      <c r="P190" s="84">
        <f>+⑤基本情報入力!$AB$63</f>
        <v>2.3E-2</v>
      </c>
      <c r="Q190" s="83">
        <f>+⑤基本情報入力!$AE$63</f>
        <v>40</v>
      </c>
      <c r="R190" s="72" t="s">
        <v>244</v>
      </c>
    </row>
    <row r="191" spans="1:18" ht="15.75">
      <c r="A191" s="58"/>
      <c r="B191" s="1417"/>
      <c r="C191" s="338" t="s">
        <v>246</v>
      </c>
      <c r="D191" s="72"/>
      <c r="E191" s="357">
        <f>+⑤基本情報入力!AI53</f>
        <v>0</v>
      </c>
      <c r="F191" s="338" t="s">
        <v>4</v>
      </c>
      <c r="G191" s="79" t="s">
        <v>11</v>
      </c>
      <c r="H191" s="72" t="s">
        <v>292</v>
      </c>
      <c r="I191" s="80">
        <f>K191*(1-O191)*(P191+P191/((P191+1)^Q191-1))</f>
        <v>0</v>
      </c>
      <c r="J191" s="72" t="s">
        <v>124</v>
      </c>
      <c r="K191" s="69">
        <f>17.8*M191^0.464*E191</f>
        <v>0</v>
      </c>
      <c r="L191" s="72" t="s">
        <v>120</v>
      </c>
      <c r="M191" s="80">
        <f>IFERROR('計算条件（既存）'!H43/E191,0)</f>
        <v>0</v>
      </c>
      <c r="N191" s="339" t="s">
        <v>243</v>
      </c>
      <c r="O191" s="81">
        <f>+⑤基本情報入力!$Y$62</f>
        <v>0.1</v>
      </c>
      <c r="P191" s="84">
        <f>+⑤基本情報入力!$AB$62</f>
        <v>2.3E-2</v>
      </c>
      <c r="Q191" s="83">
        <f>+⑤基本情報入力!$AE$62</f>
        <v>15</v>
      </c>
      <c r="R191" s="72" t="s">
        <v>247</v>
      </c>
    </row>
    <row r="192" spans="1:18" ht="15.75">
      <c r="B192" s="1417"/>
      <c r="C192" s="1407" t="s">
        <v>18</v>
      </c>
      <c r="D192" s="1408" t="s">
        <v>249</v>
      </c>
      <c r="E192" s="357">
        <f>+⑤基本情報入力!AI55</f>
        <v>0</v>
      </c>
      <c r="F192" s="338" t="s">
        <v>3</v>
      </c>
      <c r="G192" s="79" t="s">
        <v>11</v>
      </c>
      <c r="H192" s="72" t="s">
        <v>134</v>
      </c>
      <c r="I192" s="80">
        <f t="shared" ref="I192:I201" si="6">K192*(1-O192)*(P192+P192/((P192+1)^Q192-1))</f>
        <v>0</v>
      </c>
      <c r="J192" s="72" t="s">
        <v>124</v>
      </c>
      <c r="K192" s="69">
        <f>124*(M192/500)^0.6*E192</f>
        <v>0</v>
      </c>
      <c r="L192" s="72" t="s">
        <v>120</v>
      </c>
      <c r="M192" s="146">
        <f>IFERROR(ROUNDUP('物質収支（既存）'!O10*25,-1)/E192,0)</f>
        <v>0</v>
      </c>
      <c r="N192" s="339" t="s">
        <v>1</v>
      </c>
      <c r="O192" s="81">
        <f>+⑤基本情報入力!$Y$61</f>
        <v>0.1</v>
      </c>
      <c r="P192" s="82">
        <f>+⑤基本情報入力!$AB$61</f>
        <v>2.3E-2</v>
      </c>
      <c r="Q192" s="83">
        <f>+⑤基本情報入力!$AE$61</f>
        <v>20</v>
      </c>
      <c r="R192" s="72" t="s">
        <v>250</v>
      </c>
    </row>
    <row r="193" spans="1:18" ht="15.75">
      <c r="B193" s="1417"/>
      <c r="C193" s="1407"/>
      <c r="D193" s="1408"/>
      <c r="E193" s="359">
        <v>0</v>
      </c>
      <c r="F193" s="338" t="s">
        <v>8</v>
      </c>
      <c r="G193" s="79" t="s">
        <v>11</v>
      </c>
      <c r="H193" s="72" t="s">
        <v>135</v>
      </c>
      <c r="I193" s="80">
        <f t="shared" si="6"/>
        <v>0</v>
      </c>
      <c r="J193" s="72" t="s">
        <v>124</v>
      </c>
      <c r="K193" s="69">
        <f>44.1*(M193/500)^0.6*E193</f>
        <v>0</v>
      </c>
      <c r="L193" s="72" t="s">
        <v>120</v>
      </c>
      <c r="M193" s="146">
        <f>+M192</f>
        <v>0</v>
      </c>
      <c r="N193" s="339" t="s">
        <v>1</v>
      </c>
      <c r="O193" s="81">
        <f>+⑤基本情報入力!$Y$63</f>
        <v>0.1</v>
      </c>
      <c r="P193" s="84">
        <f>+⑤基本情報入力!$AB$63</f>
        <v>2.3E-2</v>
      </c>
      <c r="Q193" s="83">
        <f>+⑤基本情報入力!$AE$63</f>
        <v>40</v>
      </c>
      <c r="R193" s="86"/>
    </row>
    <row r="194" spans="1:18" ht="15.75">
      <c r="B194" s="1417"/>
      <c r="C194" s="338" t="s">
        <v>9</v>
      </c>
      <c r="D194" s="72"/>
      <c r="E194" s="357">
        <f>+⑤基本情報入力!AI55</f>
        <v>0</v>
      </c>
      <c r="F194" s="338" t="s">
        <v>3</v>
      </c>
      <c r="G194" s="79" t="s">
        <v>11</v>
      </c>
      <c r="H194" s="72" t="s">
        <v>300</v>
      </c>
      <c r="I194" s="80">
        <f t="shared" si="6"/>
        <v>0</v>
      </c>
      <c r="J194" s="72" t="s">
        <v>124</v>
      </c>
      <c r="K194" s="69">
        <f>10.4*M194^0.437*E194</f>
        <v>0</v>
      </c>
      <c r="L194" s="72" t="s">
        <v>120</v>
      </c>
      <c r="M194" s="146">
        <f>IFERROR(ROUNDUP('物質収支（既存）'!O84/2,-1)/E194,0)</f>
        <v>0</v>
      </c>
      <c r="N194" s="339" t="s">
        <v>1</v>
      </c>
      <c r="O194" s="81">
        <f>+⑤基本情報入力!$Y$61</f>
        <v>0.1</v>
      </c>
      <c r="P194" s="82">
        <f>+⑤基本情報入力!$AB$61</f>
        <v>2.3E-2</v>
      </c>
      <c r="Q194" s="83">
        <f>+⑤基本情報入力!$AE$61</f>
        <v>20</v>
      </c>
      <c r="R194" s="74" t="s">
        <v>251</v>
      </c>
    </row>
    <row r="195" spans="1:18" ht="15.75">
      <c r="B195" s="1417"/>
      <c r="C195" s="338" t="s">
        <v>16</v>
      </c>
      <c r="D195" s="72"/>
      <c r="E195" s="357">
        <f>+⑤基本情報入力!AI55</f>
        <v>0</v>
      </c>
      <c r="F195" s="338" t="s">
        <v>3</v>
      </c>
      <c r="G195" s="79" t="s">
        <v>11</v>
      </c>
      <c r="H195" s="72" t="s">
        <v>299</v>
      </c>
      <c r="I195" s="80">
        <f t="shared" si="6"/>
        <v>0</v>
      </c>
      <c r="J195" s="72" t="s">
        <v>124</v>
      </c>
      <c r="K195" s="69">
        <f>0.878*M195^0.761*E195</f>
        <v>0</v>
      </c>
      <c r="L195" s="72" t="s">
        <v>120</v>
      </c>
      <c r="M195" s="146">
        <f>IFERROR(ROUNDUP('物質収支（既存）'!O84/24,0)/E195,0)</f>
        <v>0</v>
      </c>
      <c r="N195" s="339" t="s">
        <v>298</v>
      </c>
      <c r="O195" s="81">
        <f>+⑤基本情報入力!$Y$61</f>
        <v>0.1</v>
      </c>
      <c r="P195" s="82">
        <f>+⑤基本情報入力!$AB$61</f>
        <v>2.3E-2</v>
      </c>
      <c r="Q195" s="83">
        <f>+⑤基本情報入力!$AE$61</f>
        <v>20</v>
      </c>
      <c r="R195" s="74" t="s">
        <v>252</v>
      </c>
    </row>
    <row r="196" spans="1:18" ht="15.75">
      <c r="A196" s="58"/>
      <c r="B196" s="1417"/>
      <c r="C196" s="1409" t="s">
        <v>10</v>
      </c>
      <c r="D196" s="1412"/>
      <c r="E196" s="357">
        <f>+⑤基本情報入力!AI56</f>
        <v>0</v>
      </c>
      <c r="F196" s="338" t="s">
        <v>3</v>
      </c>
      <c r="G196" s="79" t="s">
        <v>11</v>
      </c>
      <c r="H196" s="72" t="s">
        <v>297</v>
      </c>
      <c r="I196" s="80">
        <f t="shared" si="6"/>
        <v>0</v>
      </c>
      <c r="J196" s="72" t="s">
        <v>124</v>
      </c>
      <c r="K196" s="69">
        <f>31.9*M196^0.971*E196</f>
        <v>0</v>
      </c>
      <c r="L196" s="72" t="s">
        <v>120</v>
      </c>
      <c r="M196" s="222">
        <f>IFERROR('物質収支（既存）'!O41/E196,0)</f>
        <v>0</v>
      </c>
      <c r="N196" s="339" t="s">
        <v>0</v>
      </c>
      <c r="O196" s="81">
        <f>+⑤基本情報入力!$Y$61</f>
        <v>0.1</v>
      </c>
      <c r="P196" s="82">
        <f>+⑤基本情報入力!$AB$61</f>
        <v>2.3E-2</v>
      </c>
      <c r="Q196" s="83">
        <f>+⑤基本情報入力!$AE$61</f>
        <v>20</v>
      </c>
      <c r="R196" s="72" t="s">
        <v>253</v>
      </c>
    </row>
    <row r="197" spans="1:18" ht="15.75" customHeight="1">
      <c r="A197" s="58"/>
      <c r="B197" s="1417"/>
      <c r="C197" s="1410"/>
      <c r="D197" s="1413"/>
      <c r="E197" s="357">
        <f>+⑤基本情報入力!AI56</f>
        <v>0</v>
      </c>
      <c r="F197" s="338" t="s">
        <v>4</v>
      </c>
      <c r="G197" s="79" t="s">
        <v>11</v>
      </c>
      <c r="H197" s="72" t="s">
        <v>136</v>
      </c>
      <c r="I197" s="80">
        <f t="shared" si="6"/>
        <v>0</v>
      </c>
      <c r="J197" s="72" t="s">
        <v>124</v>
      </c>
      <c r="K197" s="69">
        <f>6.59*M197^0.809*E197</f>
        <v>0</v>
      </c>
      <c r="L197" s="72" t="s">
        <v>120</v>
      </c>
      <c r="M197" s="222">
        <f>+M196</f>
        <v>0</v>
      </c>
      <c r="N197" s="339" t="s">
        <v>0</v>
      </c>
      <c r="O197" s="81">
        <f>+⑤基本情報入力!$Y$62</f>
        <v>0.1</v>
      </c>
      <c r="P197" s="84">
        <f>+⑤基本情報入力!$AB$62</f>
        <v>2.3E-2</v>
      </c>
      <c r="Q197" s="83">
        <f>+⑤基本情報入力!$AE$62</f>
        <v>15</v>
      </c>
      <c r="R197" s="72"/>
    </row>
    <row r="198" spans="1:18" ht="15.75">
      <c r="A198" s="58"/>
      <c r="B198" s="1417"/>
      <c r="C198" s="1411"/>
      <c r="D198" s="1414"/>
      <c r="E198" s="359">
        <v>0</v>
      </c>
      <c r="F198" s="338" t="s">
        <v>5</v>
      </c>
      <c r="G198" s="79" t="s">
        <v>11</v>
      </c>
      <c r="H198" s="72" t="s">
        <v>137</v>
      </c>
      <c r="I198" s="80">
        <f t="shared" si="6"/>
        <v>0</v>
      </c>
      <c r="J198" s="72" t="s">
        <v>124</v>
      </c>
      <c r="K198" s="69">
        <f>12.3*M198^0.941*E198</f>
        <v>0</v>
      </c>
      <c r="L198" s="72" t="s">
        <v>120</v>
      </c>
      <c r="M198" s="222">
        <f>+M196</f>
        <v>0</v>
      </c>
      <c r="N198" s="339" t="s">
        <v>0</v>
      </c>
      <c r="O198" s="81">
        <f>+⑤基本情報入力!$Y$63</f>
        <v>0.1</v>
      </c>
      <c r="P198" s="84">
        <f>+⑤基本情報入力!$AB$63</f>
        <v>2.3E-2</v>
      </c>
      <c r="Q198" s="83">
        <f>+⑤基本情報入力!$AE$63</f>
        <v>40</v>
      </c>
      <c r="R198" s="72"/>
    </row>
    <row r="199" spans="1:18" ht="15.75">
      <c r="A199" s="58"/>
      <c r="B199" s="1417"/>
      <c r="C199" s="1423" t="s">
        <v>310</v>
      </c>
      <c r="D199" s="1347"/>
      <c r="E199" s="357">
        <f>+⑤基本情報入力!AI57</f>
        <v>0</v>
      </c>
      <c r="F199" s="338" t="s">
        <v>3</v>
      </c>
      <c r="G199" s="144" t="s">
        <v>11</v>
      </c>
      <c r="H199" s="72" t="s">
        <v>317</v>
      </c>
      <c r="I199" s="94">
        <f t="shared" si="6"/>
        <v>0</v>
      </c>
      <c r="J199" s="97" t="s">
        <v>124</v>
      </c>
      <c r="K199" s="69">
        <f>188.8*M199^0.597*E199</f>
        <v>0</v>
      </c>
      <c r="L199" s="97" t="s">
        <v>120</v>
      </c>
      <c r="M199" s="222">
        <f>IFERROR('物質収支（既存）'!O41/E199,0)</f>
        <v>0</v>
      </c>
      <c r="N199" s="341" t="s">
        <v>0</v>
      </c>
      <c r="O199" s="81">
        <f>+⑤基本情報入力!$Y$61</f>
        <v>0.1</v>
      </c>
      <c r="P199" s="82">
        <f>+⑤基本情報入力!$AB$61</f>
        <v>2.3E-2</v>
      </c>
      <c r="Q199" s="83">
        <f>+⑤基本情報入力!$AE$61</f>
        <v>20</v>
      </c>
      <c r="R199" s="72" t="s">
        <v>316</v>
      </c>
    </row>
    <row r="200" spans="1:18" ht="15.75">
      <c r="A200" s="58"/>
      <c r="B200" s="1417"/>
      <c r="C200" s="1424"/>
      <c r="D200" s="1348"/>
      <c r="E200" s="357">
        <f>+⑤基本情報入力!AI57</f>
        <v>0</v>
      </c>
      <c r="F200" s="338" t="s">
        <v>4</v>
      </c>
      <c r="G200" s="144" t="s">
        <v>11</v>
      </c>
      <c r="H200" s="72" t="s">
        <v>315</v>
      </c>
      <c r="I200" s="94">
        <f t="shared" si="6"/>
        <v>0</v>
      </c>
      <c r="J200" s="97" t="s">
        <v>124</v>
      </c>
      <c r="K200" s="69">
        <f>72.6*M200^0.539*E200</f>
        <v>0</v>
      </c>
      <c r="L200" s="97" t="s">
        <v>120</v>
      </c>
      <c r="M200" s="222">
        <f>+M199</f>
        <v>0</v>
      </c>
      <c r="N200" s="341" t="s">
        <v>0</v>
      </c>
      <c r="O200" s="81">
        <f>+⑤基本情報入力!$Y$62</f>
        <v>0.1</v>
      </c>
      <c r="P200" s="84">
        <f>+⑤基本情報入力!$AB$62</f>
        <v>2.3E-2</v>
      </c>
      <c r="Q200" s="83">
        <f>+⑤基本情報入力!$AE$62</f>
        <v>15</v>
      </c>
      <c r="R200" s="72"/>
    </row>
    <row r="201" spans="1:18" ht="16.5" thickBot="1">
      <c r="A201" s="58"/>
      <c r="B201" s="1417"/>
      <c r="C201" s="1425"/>
      <c r="D201" s="1426"/>
      <c r="E201" s="116">
        <v>0</v>
      </c>
      <c r="F201" s="344" t="s">
        <v>8</v>
      </c>
      <c r="G201" s="87" t="s">
        <v>11</v>
      </c>
      <c r="H201" s="88" t="s">
        <v>314</v>
      </c>
      <c r="I201" s="89">
        <f t="shared" si="6"/>
        <v>0</v>
      </c>
      <c r="J201" s="88" t="s">
        <v>124</v>
      </c>
      <c r="K201" s="90">
        <f>136.1*M201^0.38*E201</f>
        <v>0</v>
      </c>
      <c r="L201" s="88" t="s">
        <v>120</v>
      </c>
      <c r="M201" s="224">
        <f>+M199</f>
        <v>0</v>
      </c>
      <c r="N201" s="343" t="s">
        <v>0</v>
      </c>
      <c r="O201" s="91">
        <f>+⑤基本情報入力!$Y$63</f>
        <v>0.1</v>
      </c>
      <c r="P201" s="92">
        <f>+⑤基本情報入力!$AB$63</f>
        <v>2.3E-2</v>
      </c>
      <c r="Q201" s="93">
        <f>+⑤基本情報入力!$AE$63</f>
        <v>40</v>
      </c>
      <c r="R201" s="88"/>
    </row>
    <row r="202" spans="1:18" ht="14.25" thickTop="1">
      <c r="A202" s="58"/>
      <c r="B202" s="1418"/>
      <c r="C202" s="1448" t="s">
        <v>259</v>
      </c>
      <c r="D202" s="1449"/>
      <c r="E202" s="1449"/>
      <c r="F202" s="1449"/>
      <c r="G202" s="1449"/>
      <c r="H202" s="1450"/>
      <c r="I202" s="109">
        <f>SUM(I187:I201)</f>
        <v>0</v>
      </c>
      <c r="J202" s="112" t="s">
        <v>124</v>
      </c>
      <c r="K202" s="111">
        <f>SUM(K187:K201)</f>
        <v>0</v>
      </c>
      <c r="L202" s="112" t="s">
        <v>120</v>
      </c>
      <c r="M202" s="113"/>
      <c r="N202" s="336"/>
      <c r="O202" s="99"/>
      <c r="P202" s="100"/>
      <c r="Q202" s="101"/>
      <c r="R202" s="101"/>
    </row>
    <row r="203" spans="1:18">
      <c r="A203" s="58"/>
      <c r="B203" s="335" t="s">
        <v>260</v>
      </c>
      <c r="C203" s="334" t="s">
        <v>231</v>
      </c>
      <c r="D203" s="334" t="s">
        <v>232</v>
      </c>
      <c r="E203" s="334" t="s">
        <v>233</v>
      </c>
      <c r="F203" s="334" t="s">
        <v>273</v>
      </c>
      <c r="G203" s="1451" t="s">
        <v>235</v>
      </c>
      <c r="H203" s="1452"/>
      <c r="I203" s="1451" t="s">
        <v>237</v>
      </c>
      <c r="J203" s="1452"/>
      <c r="K203" s="1454" t="s">
        <v>291</v>
      </c>
      <c r="L203" s="1455"/>
      <c r="M203" s="1451" t="s">
        <v>97</v>
      </c>
      <c r="N203" s="1456"/>
      <c r="O203" s="1456"/>
      <c r="P203" s="1456"/>
      <c r="Q203" s="1456"/>
      <c r="R203" s="1452"/>
    </row>
    <row r="204" spans="1:18" ht="15.75">
      <c r="A204" s="58"/>
      <c r="B204" s="1435"/>
      <c r="C204" s="338" t="s">
        <v>241</v>
      </c>
      <c r="D204" s="339" t="s">
        <v>242</v>
      </c>
      <c r="E204" s="357">
        <f>+⑤基本情報入力!AI53</f>
        <v>0</v>
      </c>
      <c r="F204" s="78" t="s">
        <v>262</v>
      </c>
      <c r="G204" s="79" t="s">
        <v>11</v>
      </c>
      <c r="H204" s="72" t="s">
        <v>290</v>
      </c>
      <c r="I204" s="80">
        <f>0.03*K204^0.628*E204</f>
        <v>0</v>
      </c>
      <c r="J204" s="72" t="s">
        <v>124</v>
      </c>
      <c r="K204" s="80">
        <f>IFERROR('計算条件（既存）'!G43/E204,0)</f>
        <v>0</v>
      </c>
      <c r="L204" s="339" t="s">
        <v>243</v>
      </c>
      <c r="M204" s="1217" t="s">
        <v>263</v>
      </c>
      <c r="N204" s="1218"/>
      <c r="O204" s="1218"/>
      <c r="P204" s="1218"/>
      <c r="Q204" s="1218"/>
      <c r="R204" s="1422"/>
    </row>
    <row r="205" spans="1:18" ht="15.75">
      <c r="A205" s="58"/>
      <c r="B205" s="1435"/>
      <c r="C205" s="338" t="s">
        <v>22</v>
      </c>
      <c r="D205" s="339"/>
      <c r="E205" s="357">
        <f>+⑤基本情報入力!AI54</f>
        <v>0</v>
      </c>
      <c r="F205" s="78" t="s">
        <v>308</v>
      </c>
      <c r="G205" s="79" t="s">
        <v>11</v>
      </c>
      <c r="H205" s="72" t="s">
        <v>142</v>
      </c>
      <c r="I205" s="80">
        <f>0.039*K205^0.596*E205</f>
        <v>0</v>
      </c>
      <c r="J205" s="72" t="s">
        <v>124</v>
      </c>
      <c r="K205" s="80">
        <f>IFERROR('計算条件（既存）'!G43*365/E205,0)</f>
        <v>0</v>
      </c>
      <c r="L205" s="339" t="s">
        <v>265</v>
      </c>
      <c r="M205" s="1217" t="s">
        <v>266</v>
      </c>
      <c r="N205" s="1218"/>
      <c r="O205" s="1218"/>
      <c r="P205" s="1218"/>
      <c r="Q205" s="1218"/>
      <c r="R205" s="1422"/>
    </row>
    <row r="206" spans="1:18" ht="15.75">
      <c r="A206" s="58"/>
      <c r="B206" s="1435"/>
      <c r="C206" s="338" t="s">
        <v>246</v>
      </c>
      <c r="D206" s="72"/>
      <c r="E206" s="357">
        <f>+E204</f>
        <v>0</v>
      </c>
      <c r="F206" s="338" t="s">
        <v>267</v>
      </c>
      <c r="G206" s="79" t="s">
        <v>11</v>
      </c>
      <c r="H206" s="72" t="s">
        <v>141</v>
      </c>
      <c r="I206" s="80">
        <f>0.0024*K206^0.533*E206</f>
        <v>0</v>
      </c>
      <c r="J206" s="72" t="s">
        <v>124</v>
      </c>
      <c r="K206" s="80">
        <f>IFERROR('計算条件（既存）'!G43*365/E206,0)</f>
        <v>0</v>
      </c>
      <c r="L206" s="339" t="s">
        <v>265</v>
      </c>
      <c r="M206" s="1217" t="s">
        <v>266</v>
      </c>
      <c r="N206" s="1218"/>
      <c r="O206" s="1218"/>
      <c r="P206" s="1218"/>
      <c r="Q206" s="1218"/>
      <c r="R206" s="1422"/>
    </row>
    <row r="207" spans="1:18" ht="15.75">
      <c r="B207" s="1435"/>
      <c r="C207" s="355" t="s">
        <v>18</v>
      </c>
      <c r="D207" s="356" t="s">
        <v>249</v>
      </c>
      <c r="E207" s="357">
        <f>+⑤基本情報入力!AI55</f>
        <v>0</v>
      </c>
      <c r="F207" s="338" t="s">
        <v>17</v>
      </c>
      <c r="G207" s="79" t="s">
        <v>11</v>
      </c>
      <c r="H207" s="72" t="s">
        <v>313</v>
      </c>
      <c r="I207" s="85">
        <f>0.171*(K207)^0.39*E207</f>
        <v>0</v>
      </c>
      <c r="J207" s="72" t="s">
        <v>124</v>
      </c>
      <c r="K207" s="146">
        <f>IFERROR('計算条件（既存）'!G43*365/E207,0)</f>
        <v>0</v>
      </c>
      <c r="L207" s="339" t="s">
        <v>265</v>
      </c>
      <c r="M207" s="1217" t="s">
        <v>266</v>
      </c>
      <c r="N207" s="1218"/>
      <c r="O207" s="1218"/>
      <c r="P207" s="1218"/>
      <c r="Q207" s="1218"/>
      <c r="R207" s="1422"/>
    </row>
    <row r="208" spans="1:18" ht="15.75">
      <c r="B208" s="1435"/>
      <c r="C208" s="355" t="s">
        <v>9</v>
      </c>
      <c r="D208" s="356"/>
      <c r="E208" s="357">
        <f>+⑤基本情報入力!AI55</f>
        <v>0</v>
      </c>
      <c r="F208" s="338" t="s">
        <v>13</v>
      </c>
      <c r="G208" s="79" t="s">
        <v>11</v>
      </c>
      <c r="H208" s="355" t="s">
        <v>312</v>
      </c>
      <c r="I208" s="85">
        <f>0.283*K208^0.302*E208</f>
        <v>0</v>
      </c>
      <c r="J208" s="72" t="s">
        <v>124</v>
      </c>
      <c r="K208" s="146">
        <f>IFERROR(ROUNDUP('物質収支（既存）'!O84/2,-1)/E208,0)</f>
        <v>0</v>
      </c>
      <c r="L208" s="339" t="s">
        <v>1</v>
      </c>
      <c r="M208" s="1217" t="s">
        <v>251</v>
      </c>
      <c r="N208" s="1218"/>
      <c r="O208" s="1218"/>
      <c r="P208" s="1218"/>
      <c r="Q208" s="1218"/>
      <c r="R208" s="1422"/>
    </row>
    <row r="209" spans="1:18" ht="15.75">
      <c r="B209" s="1435"/>
      <c r="C209" s="355" t="s">
        <v>16</v>
      </c>
      <c r="D209" s="356"/>
      <c r="E209" s="357">
        <f>+⑤基本情報入力!AI55</f>
        <v>0</v>
      </c>
      <c r="F209" s="338" t="s">
        <v>13</v>
      </c>
      <c r="G209" s="79" t="s">
        <v>11</v>
      </c>
      <c r="H209" s="355" t="s">
        <v>311</v>
      </c>
      <c r="I209" s="85">
        <f>0.0796*K209^0.761*E209</f>
        <v>0</v>
      </c>
      <c r="J209" s="72" t="s">
        <v>124</v>
      </c>
      <c r="K209" s="146">
        <f>IFERROR(ROUNDUP('物質収支（既存）'!O84/24,0)/E209,0)</f>
        <v>0</v>
      </c>
      <c r="L209" s="339" t="s">
        <v>298</v>
      </c>
      <c r="M209" s="1217" t="s">
        <v>252</v>
      </c>
      <c r="N209" s="1218"/>
      <c r="O209" s="1218"/>
      <c r="P209" s="1218"/>
      <c r="Q209" s="1218"/>
      <c r="R209" s="1422"/>
    </row>
    <row r="210" spans="1:18" ht="15.75">
      <c r="B210" s="1435"/>
      <c r="C210" s="355" t="s">
        <v>10</v>
      </c>
      <c r="D210" s="356"/>
      <c r="E210" s="357">
        <f>+⑤基本情報入力!AI56</f>
        <v>0</v>
      </c>
      <c r="F210" s="338" t="s">
        <v>17</v>
      </c>
      <c r="G210" s="79" t="s">
        <v>11</v>
      </c>
      <c r="H210" s="72" t="s">
        <v>140</v>
      </c>
      <c r="I210" s="85">
        <f>0.362*K210^0.585*E210</f>
        <v>0</v>
      </c>
      <c r="J210" s="72" t="s">
        <v>124</v>
      </c>
      <c r="K210" s="222">
        <f>IFERROR('物質収支（既存）'!O41*365/E210,0)</f>
        <v>0</v>
      </c>
      <c r="L210" s="339" t="s">
        <v>562</v>
      </c>
      <c r="M210" s="1217" t="s">
        <v>268</v>
      </c>
      <c r="N210" s="1218"/>
      <c r="O210" s="1218"/>
      <c r="P210" s="1218"/>
      <c r="Q210" s="1218"/>
      <c r="R210" s="1422"/>
    </row>
    <row r="211" spans="1:18" ht="16.5" thickBot="1">
      <c r="B211" s="1435"/>
      <c r="C211" s="344" t="s">
        <v>310</v>
      </c>
      <c r="D211" s="343"/>
      <c r="E211" s="116">
        <f>+⑤基本情報入力!AI57</f>
        <v>0</v>
      </c>
      <c r="F211" s="344" t="s">
        <v>264</v>
      </c>
      <c r="G211" s="87" t="s">
        <v>11</v>
      </c>
      <c r="H211" s="88" t="s">
        <v>351</v>
      </c>
      <c r="I211" s="272">
        <f>0.287*K211^0.673*E211</f>
        <v>0</v>
      </c>
      <c r="J211" s="88" t="s">
        <v>124</v>
      </c>
      <c r="K211" s="224">
        <f>IFERROR('物質収支（既存）'!O41*365/E211,0)</f>
        <v>0</v>
      </c>
      <c r="L211" s="343" t="s">
        <v>562</v>
      </c>
      <c r="M211" s="1437" t="s">
        <v>563</v>
      </c>
      <c r="N211" s="1438"/>
      <c r="O211" s="1438"/>
      <c r="P211" s="1438"/>
      <c r="Q211" s="1438"/>
      <c r="R211" s="1439"/>
    </row>
    <row r="212" spans="1:18" ht="14.25" thickTop="1">
      <c r="A212" s="58"/>
      <c r="B212" s="1436"/>
      <c r="C212" s="1427" t="s">
        <v>259</v>
      </c>
      <c r="D212" s="1428"/>
      <c r="E212" s="1428"/>
      <c r="F212" s="1428"/>
      <c r="G212" s="1428"/>
      <c r="H212" s="1429"/>
      <c r="I212" s="109">
        <f>SUM(I204:I211)</f>
        <v>0</v>
      </c>
      <c r="J212" s="112" t="s">
        <v>124</v>
      </c>
      <c r="K212" s="118"/>
      <c r="L212" s="336"/>
      <c r="M212" s="1431"/>
      <c r="N212" s="1431"/>
      <c r="O212" s="1431"/>
      <c r="P212" s="1431"/>
      <c r="Q212" s="1431"/>
      <c r="R212" s="1431"/>
    </row>
    <row r="215" spans="1:18">
      <c r="A215" s="58"/>
      <c r="B215" s="58" t="s">
        <v>307</v>
      </c>
    </row>
    <row r="216" spans="1:18">
      <c r="A216" s="58"/>
      <c r="B216" s="354" t="s">
        <v>230</v>
      </c>
      <c r="C216" s="337" t="s">
        <v>231</v>
      </c>
      <c r="D216" s="337" t="s">
        <v>232</v>
      </c>
      <c r="E216" s="351" t="s">
        <v>233</v>
      </c>
      <c r="F216" s="337" t="s">
        <v>23</v>
      </c>
      <c r="G216" s="1444" t="s">
        <v>235</v>
      </c>
      <c r="H216" s="1445"/>
      <c r="I216" s="1415" t="s">
        <v>236</v>
      </c>
      <c r="J216" s="1415"/>
      <c r="K216" s="1415" t="s">
        <v>237</v>
      </c>
      <c r="L216" s="1415"/>
      <c r="M216" s="1416" t="s">
        <v>291</v>
      </c>
      <c r="N216" s="1416"/>
      <c r="O216" s="77" t="s">
        <v>238</v>
      </c>
      <c r="P216" s="77" t="s">
        <v>239</v>
      </c>
      <c r="Q216" s="77" t="s">
        <v>240</v>
      </c>
      <c r="R216" s="337" t="s">
        <v>97</v>
      </c>
    </row>
    <row r="217" spans="1:18" ht="16.5" thickBot="1">
      <c r="A217" s="58"/>
      <c r="B217" s="1417"/>
      <c r="C217" s="344" t="s">
        <v>96</v>
      </c>
      <c r="D217" s="88"/>
      <c r="E217" s="116">
        <v>0</v>
      </c>
      <c r="F217" s="344" t="s">
        <v>306</v>
      </c>
      <c r="G217" s="87" t="s">
        <v>11</v>
      </c>
      <c r="H217" s="127" t="s">
        <v>305</v>
      </c>
      <c r="I217" s="89">
        <f>K217*(1-O217)*(P217+P217/((P217+1)^Q217-1))</f>
        <v>0</v>
      </c>
      <c r="J217" s="88" t="s">
        <v>124</v>
      </c>
      <c r="K217" s="90">
        <f>IF(M217=0,0,(-0.087*M217^2+59.53*M217+258)*E217)</f>
        <v>0</v>
      </c>
      <c r="L217" s="88" t="s">
        <v>120</v>
      </c>
      <c r="M217" s="89">
        <f>IFERROR('計算条件（既存）'!H61/E217,0)</f>
        <v>0</v>
      </c>
      <c r="N217" s="343" t="s">
        <v>0</v>
      </c>
      <c r="O217" s="91">
        <f>+⑤基本情報入力!$Y$62</f>
        <v>0.1</v>
      </c>
      <c r="P217" s="92">
        <f>+⑤基本情報入力!$AB$62</f>
        <v>2.3E-2</v>
      </c>
      <c r="Q217" s="93">
        <f>+⑤基本情報入力!$AE$62</f>
        <v>15</v>
      </c>
      <c r="R217" s="88" t="s">
        <v>304</v>
      </c>
    </row>
    <row r="218" spans="1:18" ht="14.25" thickTop="1">
      <c r="A218" s="58"/>
      <c r="B218" s="1418"/>
      <c r="C218" s="1448" t="s">
        <v>352</v>
      </c>
      <c r="D218" s="1449"/>
      <c r="E218" s="1449"/>
      <c r="F218" s="1449"/>
      <c r="G218" s="1449"/>
      <c r="H218" s="1450"/>
      <c r="I218" s="138">
        <f>SUM(I217:I217)</f>
        <v>0</v>
      </c>
      <c r="J218" s="112" t="s">
        <v>124</v>
      </c>
      <c r="K218" s="111">
        <f>+K217</f>
        <v>0</v>
      </c>
      <c r="L218" s="112" t="s">
        <v>120</v>
      </c>
    </row>
    <row r="220" spans="1:18">
      <c r="B220" s="58" t="s">
        <v>340</v>
      </c>
    </row>
    <row r="221" spans="1:18">
      <c r="B221" s="354" t="s">
        <v>230</v>
      </c>
      <c r="C221" s="337" t="s">
        <v>231</v>
      </c>
      <c r="D221" s="337" t="s">
        <v>232</v>
      </c>
      <c r="E221" s="351" t="s">
        <v>233</v>
      </c>
      <c r="F221" s="337" t="s">
        <v>23</v>
      </c>
      <c r="G221" s="351" t="s">
        <v>235</v>
      </c>
      <c r="H221" s="337" t="s">
        <v>211</v>
      </c>
      <c r="I221" s="1415" t="s">
        <v>236</v>
      </c>
      <c r="J221" s="1415"/>
      <c r="K221" s="1415" t="s">
        <v>237</v>
      </c>
      <c r="L221" s="1415"/>
      <c r="M221" s="1416" t="s">
        <v>291</v>
      </c>
      <c r="N221" s="1416"/>
      <c r="O221" s="77" t="s">
        <v>238</v>
      </c>
      <c r="P221" s="77" t="s">
        <v>239</v>
      </c>
      <c r="Q221" s="77" t="s">
        <v>240</v>
      </c>
      <c r="R221" s="337" t="s">
        <v>97</v>
      </c>
    </row>
    <row r="222" spans="1:18">
      <c r="B222" s="1457"/>
      <c r="C222" s="1459" t="s">
        <v>41</v>
      </c>
      <c r="D222" s="1221"/>
      <c r="E222" s="357">
        <v>1</v>
      </c>
      <c r="F222" s="78" t="s">
        <v>415</v>
      </c>
      <c r="G222" s="1462" t="s">
        <v>271</v>
      </c>
      <c r="H222" s="1464">
        <f>IF(M222&lt;40,44000,IF(AND(M222&gt;=40,M222&lt;=99),33000,IF(M222&gt;=100,28000)))</f>
        <v>44000</v>
      </c>
      <c r="I222" s="80">
        <f>K222*(1-O222)*(P222+P222/((P222+1)^Q222-1))</f>
        <v>0</v>
      </c>
      <c r="J222" s="72" t="s">
        <v>124</v>
      </c>
      <c r="K222" s="70">
        <f>H222*M222/1000*0.75*E222</f>
        <v>0</v>
      </c>
      <c r="L222" s="72" t="s">
        <v>120</v>
      </c>
      <c r="M222" s="80">
        <f>IFERROR(('計算条件（既存）'!H46+'計算条件（既存）'!H51+'計算条件（既存）'!H56)/E222,0)</f>
        <v>0</v>
      </c>
      <c r="N222" s="339" t="s">
        <v>0</v>
      </c>
      <c r="O222" s="81">
        <v>0.1</v>
      </c>
      <c r="P222" s="82">
        <v>2.3E-2</v>
      </c>
      <c r="Q222" s="83">
        <v>20</v>
      </c>
      <c r="R222" s="72" t="s">
        <v>436</v>
      </c>
    </row>
    <row r="223" spans="1:18" ht="14.25" thickBot="1">
      <c r="A223" s="58"/>
      <c r="B223" s="1457"/>
      <c r="C223" s="1460"/>
      <c r="D223" s="1461"/>
      <c r="E223" s="218">
        <v>0</v>
      </c>
      <c r="F223" s="217" t="s">
        <v>8</v>
      </c>
      <c r="G223" s="1463"/>
      <c r="H223" s="1465"/>
      <c r="I223" s="89">
        <f>K223*(1-O223)*(P223+P223/((P223+1)^Q223-1))</f>
        <v>0</v>
      </c>
      <c r="J223" s="88" t="s">
        <v>124</v>
      </c>
      <c r="K223" s="216">
        <f>H222*M223/1000*0.25*E223</f>
        <v>0</v>
      </c>
      <c r="L223" s="88" t="s">
        <v>120</v>
      </c>
      <c r="M223" s="89">
        <f>+M222</f>
        <v>0</v>
      </c>
      <c r="N223" s="343" t="s">
        <v>0</v>
      </c>
      <c r="O223" s="91">
        <v>0.1</v>
      </c>
      <c r="P223" s="92">
        <v>2.3E-2</v>
      </c>
      <c r="Q223" s="93">
        <v>40</v>
      </c>
      <c r="R223" s="88" t="s">
        <v>436</v>
      </c>
    </row>
    <row r="224" spans="1:18" ht="14.25" thickTop="1">
      <c r="A224" s="58"/>
      <c r="B224" s="1458"/>
      <c r="C224" s="1427" t="s">
        <v>259</v>
      </c>
      <c r="D224" s="1428"/>
      <c r="E224" s="1428"/>
      <c r="F224" s="1428"/>
      <c r="G224" s="1428"/>
      <c r="H224" s="1429"/>
      <c r="I224" s="109">
        <f>SUM(I222:I222)</f>
        <v>0</v>
      </c>
      <c r="J224" s="112" t="s">
        <v>124</v>
      </c>
      <c r="K224" s="111">
        <f>+K222</f>
        <v>0</v>
      </c>
      <c r="L224" s="112" t="s">
        <v>120</v>
      </c>
    </row>
    <row r="225" spans="1:18">
      <c r="A225" s="58"/>
      <c r="B225" s="350" t="s">
        <v>260</v>
      </c>
      <c r="C225" s="349" t="s">
        <v>231</v>
      </c>
      <c r="D225" s="350" t="s">
        <v>232</v>
      </c>
      <c r="E225" s="348" t="s">
        <v>233</v>
      </c>
      <c r="F225" s="350" t="s">
        <v>273</v>
      </c>
      <c r="G225" s="1469" t="s">
        <v>235</v>
      </c>
      <c r="H225" s="1470"/>
      <c r="I225" s="1471" t="s">
        <v>237</v>
      </c>
      <c r="J225" s="1471"/>
      <c r="K225" s="1472" t="s">
        <v>291</v>
      </c>
      <c r="L225" s="1472"/>
      <c r="M225" s="1432" t="s">
        <v>97</v>
      </c>
      <c r="N225" s="1432"/>
      <c r="O225" s="1432"/>
      <c r="P225" s="1432"/>
      <c r="Q225" s="1432"/>
      <c r="R225" s="1432"/>
    </row>
    <row r="226" spans="1:18" ht="14.25" thickBot="1">
      <c r="A226" s="58"/>
      <c r="B226" s="1435"/>
      <c r="C226" s="344" t="s">
        <v>41</v>
      </c>
      <c r="D226" s="343"/>
      <c r="E226" s="116">
        <v>1</v>
      </c>
      <c r="F226" s="214" t="s">
        <v>437</v>
      </c>
      <c r="G226" s="213" t="s">
        <v>271</v>
      </c>
      <c r="H226" s="215">
        <v>7800</v>
      </c>
      <c r="I226" s="89">
        <f>H226*K226/1000000*E226</f>
        <v>0</v>
      </c>
      <c r="J226" s="88" t="s">
        <v>124</v>
      </c>
      <c r="K226" s="89">
        <f>IFERROR(('計算条件（既存）'!G46+'計算条件（既存）'!G51+'計算条件（既存）'!G56)*365/E222,0)</f>
        <v>0</v>
      </c>
      <c r="L226" s="343" t="s">
        <v>122</v>
      </c>
      <c r="M226" s="1437" t="s">
        <v>438</v>
      </c>
      <c r="N226" s="1438"/>
      <c r="O226" s="1438"/>
      <c r="P226" s="1438"/>
      <c r="Q226" s="1438"/>
      <c r="R226" s="1439"/>
    </row>
    <row r="227" spans="1:18" ht="14.25" thickTop="1">
      <c r="A227" s="58"/>
      <c r="B227" s="1436"/>
      <c r="C227" s="1427" t="s">
        <v>259</v>
      </c>
      <c r="D227" s="1428"/>
      <c r="E227" s="1428"/>
      <c r="F227" s="1428"/>
      <c r="G227" s="1428"/>
      <c r="H227" s="1429"/>
      <c r="I227" s="109">
        <f>SUM(I226:I226)</f>
        <v>0</v>
      </c>
      <c r="J227" s="112" t="s">
        <v>124</v>
      </c>
    </row>
    <row r="228" spans="1:18">
      <c r="A228" s="58"/>
      <c r="M228" s="136"/>
    </row>
    <row r="229" spans="1:18">
      <c r="A229" s="58"/>
      <c r="B229" s="58" t="s">
        <v>274</v>
      </c>
    </row>
    <row r="230" spans="1:18">
      <c r="A230" s="58"/>
      <c r="B230" s="128" t="s">
        <v>130</v>
      </c>
      <c r="C230" s="342" t="s">
        <v>275</v>
      </c>
      <c r="D230" s="1466" t="s">
        <v>303</v>
      </c>
      <c r="E230" s="1466"/>
      <c r="F230" s="342" t="s">
        <v>23</v>
      </c>
      <c r="G230" s="1466" t="s">
        <v>276</v>
      </c>
      <c r="H230" s="1466"/>
      <c r="I230" s="1467" t="s">
        <v>277</v>
      </c>
      <c r="J230" s="1467"/>
      <c r="K230" s="1468" t="s">
        <v>291</v>
      </c>
      <c r="L230" s="1468"/>
      <c r="M230" s="1467" t="s">
        <v>278</v>
      </c>
      <c r="N230" s="1467"/>
      <c r="O230" s="1466" t="s">
        <v>97</v>
      </c>
      <c r="P230" s="1466"/>
      <c r="Q230" s="1466"/>
      <c r="R230" s="1466"/>
    </row>
    <row r="231" spans="1:18">
      <c r="A231" s="58"/>
      <c r="B231" s="1477"/>
      <c r="C231" s="149">
        <f>+⑤基本情報入力!L29</f>
        <v>0</v>
      </c>
      <c r="D231" s="1479" t="str">
        <f>+⑤基本情報入力!L30</f>
        <v>し尿</v>
      </c>
      <c r="E231" s="1480"/>
      <c r="F231" s="72" t="s">
        <v>207</v>
      </c>
      <c r="G231" s="1222" t="s">
        <v>271</v>
      </c>
      <c r="H231" s="1224"/>
      <c r="I231" s="129">
        <f t="shared" ref="I231:I236" si="7">IFERROR(ROUND(M231*K231/10^6,1),"")</f>
        <v>0</v>
      </c>
      <c r="J231" s="72" t="s">
        <v>124</v>
      </c>
      <c r="K231" s="103">
        <f>+⑤基本情報入力!L38</f>
        <v>0</v>
      </c>
      <c r="L231" s="72" t="s">
        <v>122</v>
      </c>
      <c r="M231" s="69">
        <f>+IFERROR(⑤基本情報入力!L39*1000,"")</f>
        <v>0</v>
      </c>
      <c r="N231" s="338" t="s">
        <v>126</v>
      </c>
      <c r="O231" s="1474"/>
      <c r="P231" s="1475"/>
      <c r="Q231" s="1475"/>
      <c r="R231" s="1476"/>
    </row>
    <row r="232" spans="1:18">
      <c r="A232" s="58"/>
      <c r="B232" s="1477"/>
      <c r="C232" s="150">
        <f>+⑤基本情報入力!Q29</f>
        <v>0</v>
      </c>
      <c r="D232" s="1473" t="str">
        <f>+⑤基本情報入力!Q30</f>
        <v>浄化槽汚泥</v>
      </c>
      <c r="E232" s="1473"/>
      <c r="F232" s="72" t="s">
        <v>207</v>
      </c>
      <c r="G232" s="1221" t="s">
        <v>271</v>
      </c>
      <c r="H232" s="1221"/>
      <c r="I232" s="129">
        <f t="shared" si="7"/>
        <v>0</v>
      </c>
      <c r="J232" s="72" t="s">
        <v>124</v>
      </c>
      <c r="K232" s="103">
        <f>+⑤基本情報入力!Q38</f>
        <v>0</v>
      </c>
      <c r="L232" s="72" t="s">
        <v>122</v>
      </c>
      <c r="M232" s="69">
        <f>+IFERROR(⑤基本情報入力!L39*1000,"")</f>
        <v>0</v>
      </c>
      <c r="N232" s="338" t="s">
        <v>126</v>
      </c>
      <c r="O232" s="1474"/>
      <c r="P232" s="1475"/>
      <c r="Q232" s="1475"/>
      <c r="R232" s="1476"/>
    </row>
    <row r="233" spans="1:18">
      <c r="A233" s="58"/>
      <c r="B233" s="1477"/>
      <c r="C233" s="150">
        <f>+⑤基本情報入力!V29</f>
        <v>0</v>
      </c>
      <c r="D233" s="1473" t="str">
        <f>+⑤基本情報入力!V30</f>
        <v>集落排水汚泥</v>
      </c>
      <c r="E233" s="1473"/>
      <c r="F233" s="72" t="s">
        <v>207</v>
      </c>
      <c r="G233" s="1221" t="s">
        <v>271</v>
      </c>
      <c r="H233" s="1221"/>
      <c r="I233" s="129">
        <f t="shared" si="7"/>
        <v>0</v>
      </c>
      <c r="J233" s="72" t="s">
        <v>124</v>
      </c>
      <c r="K233" s="103">
        <f>+⑤基本情報入力!V38</f>
        <v>0</v>
      </c>
      <c r="L233" s="72" t="s">
        <v>125</v>
      </c>
      <c r="M233" s="69">
        <f>+IFERROR(⑤基本情報入力!V39*1000,"")</f>
        <v>0</v>
      </c>
      <c r="N233" s="338" t="s">
        <v>126</v>
      </c>
      <c r="O233" s="1474"/>
      <c r="P233" s="1475"/>
      <c r="Q233" s="1475"/>
      <c r="R233" s="1476"/>
    </row>
    <row r="234" spans="1:18">
      <c r="A234" s="58"/>
      <c r="B234" s="1477"/>
      <c r="C234" s="150">
        <f>+⑤基本情報入力!AA29</f>
        <v>0</v>
      </c>
      <c r="D234" s="1473" t="str">
        <f>+⑤基本情報入力!AA30</f>
        <v>生ごみ</v>
      </c>
      <c r="E234" s="1473"/>
      <c r="F234" s="72" t="s">
        <v>207</v>
      </c>
      <c r="G234" s="1221" t="s">
        <v>271</v>
      </c>
      <c r="H234" s="1221"/>
      <c r="I234" s="129">
        <f t="shared" si="7"/>
        <v>0</v>
      </c>
      <c r="J234" s="72" t="s">
        <v>124</v>
      </c>
      <c r="K234" s="103">
        <f>+⑤基本情報入力!AA38</f>
        <v>0</v>
      </c>
      <c r="L234" s="72" t="s">
        <v>125</v>
      </c>
      <c r="M234" s="69">
        <f>+IFERROR(⑤基本情報入力!AA39*1000,"")</f>
        <v>0</v>
      </c>
      <c r="N234" s="338" t="s">
        <v>126</v>
      </c>
      <c r="O234" s="1474"/>
      <c r="P234" s="1475"/>
      <c r="Q234" s="1475"/>
      <c r="R234" s="1476"/>
    </row>
    <row r="235" spans="1:18">
      <c r="A235" s="58"/>
      <c r="B235" s="1477"/>
      <c r="C235" s="151"/>
      <c r="D235" s="1473"/>
      <c r="E235" s="1473"/>
      <c r="F235" s="72" t="s">
        <v>207</v>
      </c>
      <c r="G235" s="1221" t="s">
        <v>271</v>
      </c>
      <c r="H235" s="1221"/>
      <c r="I235" s="129">
        <f t="shared" si="7"/>
        <v>0</v>
      </c>
      <c r="J235" s="72" t="s">
        <v>124</v>
      </c>
      <c r="K235" s="103"/>
      <c r="L235" s="72" t="s">
        <v>125</v>
      </c>
      <c r="M235" s="69"/>
      <c r="N235" s="338" t="s">
        <v>126</v>
      </c>
      <c r="O235" s="1474"/>
      <c r="P235" s="1475"/>
      <c r="Q235" s="1475"/>
      <c r="R235" s="1476"/>
    </row>
    <row r="236" spans="1:18" ht="14.25" thickBot="1">
      <c r="A236" s="58"/>
      <c r="B236" s="1477"/>
      <c r="C236" s="321"/>
      <c r="D236" s="1481"/>
      <c r="E236" s="1481"/>
      <c r="F236" s="88" t="s">
        <v>207</v>
      </c>
      <c r="G236" s="1461" t="s">
        <v>271</v>
      </c>
      <c r="H236" s="1461"/>
      <c r="I236" s="322">
        <f t="shared" si="7"/>
        <v>0</v>
      </c>
      <c r="J236" s="88" t="s">
        <v>124</v>
      </c>
      <c r="K236" s="130"/>
      <c r="L236" s="88" t="s">
        <v>125</v>
      </c>
      <c r="M236" s="90"/>
      <c r="N236" s="344" t="s">
        <v>126</v>
      </c>
      <c r="O236" s="1482"/>
      <c r="P236" s="1483"/>
      <c r="Q236" s="1483"/>
      <c r="R236" s="1484"/>
    </row>
    <row r="237" spans="1:18" ht="14.25" thickTop="1">
      <c r="A237" s="58"/>
      <c r="B237" s="1478"/>
      <c r="C237" s="1427" t="s">
        <v>259</v>
      </c>
      <c r="D237" s="1428"/>
      <c r="E237" s="1428"/>
      <c r="F237" s="1428"/>
      <c r="G237" s="1428"/>
      <c r="H237" s="1429"/>
      <c r="I237" s="137">
        <f>SUM(I231:I236)</f>
        <v>0</v>
      </c>
      <c r="J237" s="112" t="s">
        <v>124</v>
      </c>
      <c r="M237" s="58" t="s">
        <v>195</v>
      </c>
    </row>
    <row r="238" spans="1:18">
      <c r="A238" s="58"/>
    </row>
    <row r="239" spans="1:18">
      <c r="A239" s="58"/>
      <c r="B239" s="58" t="s">
        <v>335</v>
      </c>
    </row>
    <row r="240" spans="1:18">
      <c r="A240" s="58"/>
      <c r="B240" s="128" t="s">
        <v>131</v>
      </c>
      <c r="C240" s="342" t="s">
        <v>275</v>
      </c>
      <c r="D240" s="1466" t="s">
        <v>302</v>
      </c>
      <c r="E240" s="1466"/>
      <c r="F240" s="342" t="s">
        <v>23</v>
      </c>
      <c r="G240" s="1466" t="s">
        <v>276</v>
      </c>
      <c r="H240" s="1466"/>
      <c r="I240" s="1467" t="s">
        <v>277</v>
      </c>
      <c r="J240" s="1467"/>
      <c r="K240" s="1468" t="s">
        <v>291</v>
      </c>
      <c r="L240" s="1468"/>
      <c r="M240" s="1467" t="s">
        <v>278</v>
      </c>
      <c r="N240" s="1467"/>
      <c r="O240" s="1466" t="s">
        <v>97</v>
      </c>
      <c r="P240" s="1466"/>
      <c r="Q240" s="1466"/>
      <c r="R240" s="1466"/>
    </row>
    <row r="241" spans="1:18">
      <c r="A241" s="58"/>
      <c r="B241" s="131"/>
      <c r="C241" s="72">
        <f>+⑤基本情報入力!L12</f>
        <v>0</v>
      </c>
      <c r="D241" s="1221" t="str">
        <f>+⑤基本情報入力!Q13</f>
        <v>脱水汚泥</v>
      </c>
      <c r="E241" s="1221"/>
      <c r="F241" s="72" t="s">
        <v>281</v>
      </c>
      <c r="G241" s="1221" t="s">
        <v>271</v>
      </c>
      <c r="H241" s="1221"/>
      <c r="I241" s="72">
        <f t="shared" ref="I241:I256" si="8">IFERROR(ROUND(K241*M241/10^6,1),"")</f>
        <v>0</v>
      </c>
      <c r="J241" s="72" t="s">
        <v>124</v>
      </c>
      <c r="K241" s="69">
        <f>+⑤基本情報入力!L21</f>
        <v>0</v>
      </c>
      <c r="L241" s="72" t="s">
        <v>125</v>
      </c>
      <c r="M241" s="103">
        <f>IFERROR(⑤基本情報入力!Q23*1000,"")</f>
        <v>0</v>
      </c>
      <c r="N241" s="72" t="s">
        <v>126</v>
      </c>
      <c r="O241" s="1419"/>
      <c r="P241" s="1419"/>
      <c r="Q241" s="1419"/>
      <c r="R241" s="1419"/>
    </row>
    <row r="242" spans="1:18">
      <c r="A242" s="58"/>
      <c r="B242" s="131"/>
      <c r="C242" s="72">
        <f>+⑤基本情報入力!V12</f>
        <v>0</v>
      </c>
      <c r="D242" s="1221">
        <f>+⑤基本情報入力!V13</f>
        <v>0</v>
      </c>
      <c r="E242" s="1221"/>
      <c r="F242" s="72" t="s">
        <v>281</v>
      </c>
      <c r="G242" s="1221" t="s">
        <v>271</v>
      </c>
      <c r="H242" s="1221"/>
      <c r="I242" s="72">
        <f t="shared" si="8"/>
        <v>0</v>
      </c>
      <c r="J242" s="72" t="s">
        <v>124</v>
      </c>
      <c r="K242" s="69">
        <f>+⑤基本情報入力!V21</f>
        <v>0</v>
      </c>
      <c r="L242" s="72" t="s">
        <v>125</v>
      </c>
      <c r="M242" s="103">
        <f>IFERROR(⑤基本情報入力!V23*1000,"")</f>
        <v>0</v>
      </c>
      <c r="N242" s="72" t="s">
        <v>126</v>
      </c>
      <c r="O242" s="1419"/>
      <c r="P242" s="1419"/>
      <c r="Q242" s="1419"/>
      <c r="R242" s="1419"/>
    </row>
    <row r="243" spans="1:18">
      <c r="A243" s="58"/>
      <c r="B243" s="131"/>
      <c r="C243" s="72">
        <f>+⑤基本情報入力!AA12</f>
        <v>0</v>
      </c>
      <c r="D243" s="1221">
        <f>+⑤基本情報入力!AA13</f>
        <v>0</v>
      </c>
      <c r="E243" s="1221"/>
      <c r="F243" s="72" t="s">
        <v>281</v>
      </c>
      <c r="G243" s="1221" t="s">
        <v>271</v>
      </c>
      <c r="H243" s="1221"/>
      <c r="I243" s="72">
        <f t="shared" si="8"/>
        <v>0</v>
      </c>
      <c r="J243" s="72" t="s">
        <v>124</v>
      </c>
      <c r="K243" s="69">
        <f>+⑤基本情報入力!AA21</f>
        <v>0</v>
      </c>
      <c r="L243" s="72" t="s">
        <v>125</v>
      </c>
      <c r="M243" s="103">
        <f>IFERROR(⑤基本情報入力!AA23*1000,"")</f>
        <v>0</v>
      </c>
      <c r="N243" s="72" t="s">
        <v>126</v>
      </c>
      <c r="O243" s="1419"/>
      <c r="P243" s="1419"/>
      <c r="Q243" s="1419"/>
      <c r="R243" s="1419"/>
    </row>
    <row r="244" spans="1:18">
      <c r="A244" s="58"/>
      <c r="B244" s="131"/>
      <c r="C244" s="72">
        <f>+⑤基本情報入力!AF12</f>
        <v>0</v>
      </c>
      <c r="D244" s="1221">
        <f>+⑤基本情報入力!AF13</f>
        <v>0</v>
      </c>
      <c r="E244" s="1221"/>
      <c r="F244" s="72" t="s">
        <v>281</v>
      </c>
      <c r="G244" s="1221" t="s">
        <v>271</v>
      </c>
      <c r="H244" s="1221"/>
      <c r="I244" s="72">
        <f t="shared" si="8"/>
        <v>0</v>
      </c>
      <c r="J244" s="72" t="s">
        <v>124</v>
      </c>
      <c r="K244" s="69">
        <f>+⑤基本情報入力!AF21</f>
        <v>0</v>
      </c>
      <c r="L244" s="72" t="s">
        <v>125</v>
      </c>
      <c r="M244" s="103">
        <f>IFERROR(⑤基本情報入力!AF23*1000,"")</f>
        <v>0</v>
      </c>
      <c r="N244" s="72" t="s">
        <v>126</v>
      </c>
      <c r="O244" s="1419"/>
      <c r="P244" s="1419"/>
      <c r="Q244" s="1419"/>
      <c r="R244" s="1419"/>
    </row>
    <row r="245" spans="1:18">
      <c r="A245" s="58"/>
      <c r="B245" s="131"/>
      <c r="C245" s="72">
        <f>+⑤基本情報入力!AK12</f>
        <v>0</v>
      </c>
      <c r="D245" s="1221">
        <f>+⑤基本情報入力!AK13</f>
        <v>0</v>
      </c>
      <c r="E245" s="1221"/>
      <c r="F245" s="72" t="s">
        <v>281</v>
      </c>
      <c r="G245" s="1221" t="s">
        <v>271</v>
      </c>
      <c r="H245" s="1221"/>
      <c r="I245" s="72">
        <f t="shared" si="8"/>
        <v>0</v>
      </c>
      <c r="J245" s="72" t="s">
        <v>124</v>
      </c>
      <c r="K245" s="69">
        <f>+⑤基本情報入力!AK21</f>
        <v>0</v>
      </c>
      <c r="L245" s="72" t="s">
        <v>125</v>
      </c>
      <c r="M245" s="103">
        <f>IFERROR(⑤基本情報入力!AK23*1000,"")</f>
        <v>0</v>
      </c>
      <c r="N245" s="72" t="s">
        <v>126</v>
      </c>
      <c r="O245" s="1419"/>
      <c r="P245" s="1419"/>
      <c r="Q245" s="1419"/>
      <c r="R245" s="1419"/>
    </row>
    <row r="246" spans="1:18">
      <c r="B246" s="131"/>
      <c r="C246" s="72">
        <f>+⑤基本情報入力!AP12</f>
        <v>0</v>
      </c>
      <c r="D246" s="1221">
        <f>+⑤基本情報入力!AP13</f>
        <v>0</v>
      </c>
      <c r="E246" s="1221"/>
      <c r="F246" s="72" t="s">
        <v>281</v>
      </c>
      <c r="G246" s="1221" t="s">
        <v>271</v>
      </c>
      <c r="H246" s="1221"/>
      <c r="I246" s="72">
        <f t="shared" si="8"/>
        <v>0</v>
      </c>
      <c r="J246" s="72" t="s">
        <v>124</v>
      </c>
      <c r="K246" s="69">
        <f>+⑤基本情報入力!AP21</f>
        <v>0</v>
      </c>
      <c r="L246" s="72" t="s">
        <v>125</v>
      </c>
      <c r="M246" s="103">
        <f>IFERROR(⑤基本情報入力!AP23*1000,"")</f>
        <v>0</v>
      </c>
      <c r="N246" s="72" t="s">
        <v>126</v>
      </c>
      <c r="O246" s="1419"/>
      <c r="P246" s="1419"/>
      <c r="Q246" s="1419"/>
      <c r="R246" s="1419"/>
    </row>
    <row r="247" spans="1:18">
      <c r="B247" s="131"/>
      <c r="C247" s="72">
        <f>+⑤基本情報入力!AU12</f>
        <v>0</v>
      </c>
      <c r="D247" s="1221">
        <f>+⑤基本情報入力!AU13</f>
        <v>0</v>
      </c>
      <c r="E247" s="1221"/>
      <c r="F247" s="72" t="s">
        <v>281</v>
      </c>
      <c r="G247" s="1221" t="s">
        <v>271</v>
      </c>
      <c r="H247" s="1221"/>
      <c r="I247" s="72">
        <f t="shared" si="8"/>
        <v>0</v>
      </c>
      <c r="J247" s="72" t="s">
        <v>124</v>
      </c>
      <c r="K247" s="69">
        <f>+⑤基本情報入力!AU21</f>
        <v>0</v>
      </c>
      <c r="L247" s="72" t="s">
        <v>125</v>
      </c>
      <c r="M247" s="103">
        <f>IFERROR(⑤基本情報入力!AU23*1000,"")</f>
        <v>0</v>
      </c>
      <c r="N247" s="72" t="s">
        <v>126</v>
      </c>
      <c r="O247" s="1419"/>
      <c r="P247" s="1419"/>
      <c r="Q247" s="1419"/>
      <c r="R247" s="1419"/>
    </row>
    <row r="248" spans="1:18">
      <c r="B248" s="131"/>
      <c r="C248" s="72">
        <f>+⑤基本情報入力!L29</f>
        <v>0</v>
      </c>
      <c r="D248" s="1221" t="str">
        <f>+⑤基本情報入力!L30</f>
        <v>し尿</v>
      </c>
      <c r="E248" s="1221"/>
      <c r="F248" s="72" t="s">
        <v>281</v>
      </c>
      <c r="G248" s="1221" t="s">
        <v>271</v>
      </c>
      <c r="H248" s="1221"/>
      <c r="I248" s="72">
        <f t="shared" si="8"/>
        <v>0</v>
      </c>
      <c r="J248" s="72" t="s">
        <v>124</v>
      </c>
      <c r="K248" s="69">
        <f>+⑤基本情報入力!L38</f>
        <v>0</v>
      </c>
      <c r="L248" s="72" t="s">
        <v>125</v>
      </c>
      <c r="M248" s="103">
        <f>IFERROR(⑤基本情報入力!L40*1000,"")</f>
        <v>0</v>
      </c>
      <c r="N248" s="72" t="s">
        <v>126</v>
      </c>
      <c r="O248" s="1419"/>
      <c r="P248" s="1419"/>
      <c r="Q248" s="1419"/>
      <c r="R248" s="1419"/>
    </row>
    <row r="249" spans="1:18">
      <c r="B249" s="131"/>
      <c r="C249" s="72">
        <f>+⑤基本情報入力!Q29</f>
        <v>0</v>
      </c>
      <c r="D249" s="1221" t="str">
        <f>+⑤基本情報入力!Q30</f>
        <v>浄化槽汚泥</v>
      </c>
      <c r="E249" s="1221"/>
      <c r="F249" s="72" t="s">
        <v>281</v>
      </c>
      <c r="G249" s="1221" t="s">
        <v>271</v>
      </c>
      <c r="H249" s="1221"/>
      <c r="I249" s="72">
        <f t="shared" si="8"/>
        <v>0</v>
      </c>
      <c r="J249" s="72" t="s">
        <v>124</v>
      </c>
      <c r="K249" s="69">
        <f>+⑤基本情報入力!Q38</f>
        <v>0</v>
      </c>
      <c r="L249" s="72" t="s">
        <v>125</v>
      </c>
      <c r="M249" s="103">
        <f>IFERROR(⑤基本情報入力!L40*1000,"")</f>
        <v>0</v>
      </c>
      <c r="N249" s="72" t="s">
        <v>126</v>
      </c>
      <c r="O249" s="1419"/>
      <c r="P249" s="1419"/>
      <c r="Q249" s="1419"/>
      <c r="R249" s="1419"/>
    </row>
    <row r="250" spans="1:18">
      <c r="B250" s="131"/>
      <c r="C250" s="72">
        <f>+⑤基本情報入力!V29</f>
        <v>0</v>
      </c>
      <c r="D250" s="1221" t="str">
        <f>+⑤基本情報入力!V30</f>
        <v>集落排水汚泥</v>
      </c>
      <c r="E250" s="1221"/>
      <c r="F250" s="72" t="s">
        <v>281</v>
      </c>
      <c r="G250" s="1221" t="s">
        <v>271</v>
      </c>
      <c r="H250" s="1221"/>
      <c r="I250" s="72">
        <f t="shared" si="8"/>
        <v>0</v>
      </c>
      <c r="J250" s="72" t="s">
        <v>124</v>
      </c>
      <c r="K250" s="69">
        <f>+⑤基本情報入力!V38</f>
        <v>0</v>
      </c>
      <c r="L250" s="72" t="s">
        <v>125</v>
      </c>
      <c r="M250" s="103">
        <f>IFERROR(⑤基本情報入力!V40*1000,"")</f>
        <v>0</v>
      </c>
      <c r="N250" s="72" t="s">
        <v>126</v>
      </c>
      <c r="O250" s="1419"/>
      <c r="P250" s="1419"/>
      <c r="Q250" s="1419"/>
      <c r="R250" s="1419"/>
    </row>
    <row r="251" spans="1:18">
      <c r="B251" s="131"/>
      <c r="C251" s="72">
        <f>+⑤基本情報入力!AA29</f>
        <v>0</v>
      </c>
      <c r="D251" s="1221" t="str">
        <f>+⑤基本情報入力!AA30</f>
        <v>生ごみ</v>
      </c>
      <c r="E251" s="1221"/>
      <c r="F251" s="72" t="s">
        <v>281</v>
      </c>
      <c r="G251" s="1221" t="s">
        <v>271</v>
      </c>
      <c r="H251" s="1221"/>
      <c r="I251" s="72">
        <f t="shared" si="8"/>
        <v>0</v>
      </c>
      <c r="J251" s="72" t="s">
        <v>124</v>
      </c>
      <c r="K251" s="69">
        <f>+⑤基本情報入力!AA38</f>
        <v>0</v>
      </c>
      <c r="L251" s="72" t="s">
        <v>125</v>
      </c>
      <c r="M251" s="103">
        <f>IFERROR(⑤基本情報入力!AA40*1000,"")</f>
        <v>0</v>
      </c>
      <c r="N251" s="72" t="s">
        <v>126</v>
      </c>
      <c r="O251" s="1419"/>
      <c r="P251" s="1419"/>
      <c r="Q251" s="1419"/>
      <c r="R251" s="1419"/>
    </row>
    <row r="252" spans="1:18">
      <c r="B252" s="131"/>
      <c r="C252" s="72">
        <f>+⑤基本情報入力!AF29</f>
        <v>0</v>
      </c>
      <c r="D252" s="1221">
        <f>+⑤基本情報入力!AF30</f>
        <v>0</v>
      </c>
      <c r="E252" s="1221"/>
      <c r="F252" s="72" t="s">
        <v>281</v>
      </c>
      <c r="G252" s="1221" t="s">
        <v>271</v>
      </c>
      <c r="H252" s="1221"/>
      <c r="I252" s="72">
        <f t="shared" si="8"/>
        <v>0</v>
      </c>
      <c r="J252" s="72" t="s">
        <v>124</v>
      </c>
      <c r="K252" s="69">
        <f>+⑤基本情報入力!AF38</f>
        <v>0</v>
      </c>
      <c r="L252" s="72" t="s">
        <v>125</v>
      </c>
      <c r="M252" s="103">
        <f>IFERROR(⑤基本情報入力!AF40*1000,"")</f>
        <v>0</v>
      </c>
      <c r="N252" s="72" t="s">
        <v>126</v>
      </c>
      <c r="O252" s="1419"/>
      <c r="P252" s="1419"/>
      <c r="Q252" s="1419"/>
      <c r="R252" s="1419"/>
    </row>
    <row r="253" spans="1:18" s="101" customFormat="1">
      <c r="A253" s="148"/>
      <c r="B253" s="131"/>
      <c r="C253" s="72">
        <f>+⑤基本情報入力!AK29</f>
        <v>0</v>
      </c>
      <c r="D253" s="1221">
        <f>+⑤基本情報入力!AK30</f>
        <v>0</v>
      </c>
      <c r="E253" s="1221"/>
      <c r="F253" s="72" t="s">
        <v>281</v>
      </c>
      <c r="G253" s="1221" t="s">
        <v>271</v>
      </c>
      <c r="H253" s="1221"/>
      <c r="I253" s="72">
        <f t="shared" si="8"/>
        <v>0</v>
      </c>
      <c r="J253" s="72" t="s">
        <v>124</v>
      </c>
      <c r="K253" s="69">
        <f>+⑤基本情報入力!AK38</f>
        <v>0</v>
      </c>
      <c r="L253" s="72" t="s">
        <v>125</v>
      </c>
      <c r="M253" s="103">
        <f>IFERROR(⑤基本情報入力!AF40*1000,"")</f>
        <v>0</v>
      </c>
      <c r="N253" s="72" t="s">
        <v>126</v>
      </c>
      <c r="O253" s="1419"/>
      <c r="P253" s="1419"/>
      <c r="Q253" s="1419"/>
      <c r="R253" s="1419"/>
    </row>
    <row r="254" spans="1:18">
      <c r="B254" s="131"/>
      <c r="C254" s="72">
        <f>+⑤基本情報入力!AP29</f>
        <v>0</v>
      </c>
      <c r="D254" s="1221">
        <f>+⑤基本情報入力!AP30</f>
        <v>0</v>
      </c>
      <c r="E254" s="1221"/>
      <c r="F254" s="72" t="s">
        <v>281</v>
      </c>
      <c r="G254" s="1221" t="s">
        <v>271</v>
      </c>
      <c r="H254" s="1221"/>
      <c r="I254" s="72">
        <f t="shared" si="8"/>
        <v>0</v>
      </c>
      <c r="J254" s="72" t="s">
        <v>124</v>
      </c>
      <c r="K254" s="69">
        <f>+⑤基本情報入力!AP38</f>
        <v>0</v>
      </c>
      <c r="L254" s="72" t="s">
        <v>125</v>
      </c>
      <c r="M254" s="103">
        <f>IFERROR(⑤基本情報入力!AP40*1000,"")</f>
        <v>0</v>
      </c>
      <c r="N254" s="72" t="s">
        <v>126</v>
      </c>
      <c r="O254" s="1419"/>
      <c r="P254" s="1419"/>
      <c r="Q254" s="1419"/>
      <c r="R254" s="1419"/>
    </row>
    <row r="255" spans="1:18">
      <c r="B255" s="131"/>
      <c r="C255" s="72">
        <f>+⑤基本情報入力!AU29</f>
        <v>0</v>
      </c>
      <c r="D255" s="1221">
        <f>+⑤基本情報入力!AU30</f>
        <v>0</v>
      </c>
      <c r="E255" s="1221"/>
      <c r="F255" s="72" t="s">
        <v>281</v>
      </c>
      <c r="G255" s="1221" t="s">
        <v>271</v>
      </c>
      <c r="H255" s="1221"/>
      <c r="I255" s="72">
        <f t="shared" si="8"/>
        <v>0</v>
      </c>
      <c r="J255" s="72" t="s">
        <v>124</v>
      </c>
      <c r="K255" s="69">
        <f>+⑤基本情報入力!AU38</f>
        <v>0</v>
      </c>
      <c r="L255" s="72" t="s">
        <v>125</v>
      </c>
      <c r="M255" s="103">
        <f>⑤基本情報入力!AU40*1000</f>
        <v>0</v>
      </c>
      <c r="N255" s="72" t="s">
        <v>126</v>
      </c>
      <c r="O255" s="1419"/>
      <c r="P255" s="1419"/>
      <c r="Q255" s="1419"/>
      <c r="R255" s="1419"/>
    </row>
    <row r="256" spans="1:18">
      <c r="B256" s="131"/>
      <c r="C256" s="72"/>
      <c r="D256" s="1222"/>
      <c r="E256" s="1224"/>
      <c r="F256" s="72" t="s">
        <v>281</v>
      </c>
      <c r="G256" s="1221" t="s">
        <v>271</v>
      </c>
      <c r="H256" s="1221"/>
      <c r="I256" s="72">
        <f t="shared" si="8"/>
        <v>0</v>
      </c>
      <c r="J256" s="72" t="s">
        <v>124</v>
      </c>
      <c r="K256" s="69"/>
      <c r="L256" s="72" t="s">
        <v>125</v>
      </c>
      <c r="M256" s="103"/>
      <c r="N256" s="72" t="s">
        <v>126</v>
      </c>
      <c r="O256" s="1419"/>
      <c r="P256" s="1419"/>
      <c r="Q256" s="1419"/>
      <c r="R256" s="1419"/>
    </row>
    <row r="257" spans="1:18" ht="14.25" thickBot="1">
      <c r="B257" s="131"/>
      <c r="C257" s="88"/>
      <c r="D257" s="1485"/>
      <c r="E257" s="1486"/>
      <c r="F257" s="88" t="s">
        <v>281</v>
      </c>
      <c r="G257" s="1461" t="s">
        <v>271</v>
      </c>
      <c r="H257" s="1461"/>
      <c r="I257" s="88">
        <f>ROUND(K257*M257/10^6,1)</f>
        <v>0</v>
      </c>
      <c r="J257" s="88" t="s">
        <v>124</v>
      </c>
      <c r="K257" s="90"/>
      <c r="L257" s="88" t="s">
        <v>125</v>
      </c>
      <c r="M257" s="130"/>
      <c r="N257" s="88" t="s">
        <v>343</v>
      </c>
      <c r="O257" s="1485"/>
      <c r="P257" s="1487"/>
      <c r="Q257" s="1487"/>
      <c r="R257" s="1486"/>
    </row>
    <row r="258" spans="1:18" ht="14.25" thickTop="1">
      <c r="B258" s="132"/>
      <c r="C258" s="1427" t="s">
        <v>259</v>
      </c>
      <c r="D258" s="1428"/>
      <c r="E258" s="1428"/>
      <c r="F258" s="1428"/>
      <c r="G258" s="1428"/>
      <c r="H258" s="1429"/>
      <c r="I258" s="112">
        <f>SUM(I241:I257)</f>
        <v>0</v>
      </c>
      <c r="J258" s="112" t="s">
        <v>124</v>
      </c>
    </row>
    <row r="261" spans="1:18">
      <c r="B261" s="58" t="s">
        <v>282</v>
      </c>
    </row>
    <row r="262" spans="1:18">
      <c r="B262" s="1488" t="s">
        <v>23</v>
      </c>
      <c r="C262" s="1488"/>
      <c r="D262" s="345" t="s">
        <v>24</v>
      </c>
      <c r="E262" s="345" t="s">
        <v>237</v>
      </c>
      <c r="F262" s="255" t="s">
        <v>283</v>
      </c>
      <c r="G262" s="379" t="s">
        <v>40</v>
      </c>
      <c r="H262" s="379" t="s">
        <v>98</v>
      </c>
      <c r="I262" s="1489" t="s">
        <v>342</v>
      </c>
      <c r="J262" s="1490"/>
    </row>
    <row r="263" spans="1:18">
      <c r="A263" s="158"/>
      <c r="B263" s="1419" t="s">
        <v>284</v>
      </c>
      <c r="C263" s="1419"/>
      <c r="D263" s="339" t="s">
        <v>7</v>
      </c>
      <c r="E263" s="156">
        <f>K22+K54+K84+K114+K144+K173+K202+K224</f>
        <v>0</v>
      </c>
      <c r="F263" s="152">
        <f>K22+K54+K84+K114+K144+K173+K202</f>
        <v>0</v>
      </c>
      <c r="G263" s="153">
        <f>K224</f>
        <v>0</v>
      </c>
      <c r="H263" s="153">
        <f>K218</f>
        <v>0</v>
      </c>
      <c r="I263" s="1493">
        <v>0</v>
      </c>
      <c r="J263" s="1494"/>
    </row>
    <row r="264" spans="1:18">
      <c r="B264" s="1419" t="s">
        <v>285</v>
      </c>
      <c r="C264" s="1419"/>
      <c r="D264" s="339" t="s">
        <v>14</v>
      </c>
      <c r="E264" s="156">
        <f>I22+I54+I84+I114+I144+I173+I202+I224</f>
        <v>0</v>
      </c>
      <c r="F264" s="152">
        <f>I22+I54+I84+I114+I144+I173+I202</f>
        <v>0</v>
      </c>
      <c r="G264" s="153">
        <f>I224</f>
        <v>0</v>
      </c>
      <c r="H264" s="153">
        <f>I218</f>
        <v>0</v>
      </c>
      <c r="I264" s="1493">
        <v>0</v>
      </c>
      <c r="J264" s="1494"/>
    </row>
    <row r="265" spans="1:18">
      <c r="B265" s="1419" t="s">
        <v>264</v>
      </c>
      <c r="C265" s="1419"/>
      <c r="D265" s="339" t="s">
        <v>14</v>
      </c>
      <c r="E265" s="156">
        <f>I34+I64+I94+I124+I154+I183+I212+I227</f>
        <v>0</v>
      </c>
      <c r="F265" s="152">
        <f>I34+I64+I94+I124+I154+I183+I212</f>
        <v>0</v>
      </c>
      <c r="G265" s="153">
        <f>+I227</f>
        <v>0</v>
      </c>
      <c r="H265" s="153"/>
      <c r="I265" s="1493">
        <v>0</v>
      </c>
      <c r="J265" s="1494"/>
    </row>
    <row r="266" spans="1:18">
      <c r="B266" s="1419" t="s">
        <v>286</v>
      </c>
      <c r="C266" s="1419"/>
      <c r="D266" s="339" t="s">
        <v>14</v>
      </c>
      <c r="E266" s="156">
        <f>+I237</f>
        <v>0</v>
      </c>
      <c r="F266" s="152">
        <v>0</v>
      </c>
      <c r="G266" s="254">
        <f>I231+I232+I233</f>
        <v>0</v>
      </c>
      <c r="H266" s="153">
        <f>I234</f>
        <v>0</v>
      </c>
      <c r="I266" s="1493">
        <v>0</v>
      </c>
      <c r="J266" s="1494"/>
    </row>
    <row r="267" spans="1:18">
      <c r="A267" s="58"/>
      <c r="B267" s="1419" t="s">
        <v>287</v>
      </c>
      <c r="C267" s="1419"/>
      <c r="D267" s="339" t="s">
        <v>14</v>
      </c>
      <c r="E267" s="156">
        <f>+I258</f>
        <v>0</v>
      </c>
      <c r="F267" s="152">
        <f>+SUM(I241:I247)</f>
        <v>0</v>
      </c>
      <c r="G267" s="153">
        <f>I248+I249+I250</f>
        <v>0</v>
      </c>
      <c r="H267" s="153">
        <f>I251</f>
        <v>0</v>
      </c>
      <c r="I267" s="1493">
        <f>SUM(I252:I255)</f>
        <v>0</v>
      </c>
      <c r="J267" s="1494"/>
    </row>
    <row r="268" spans="1:18">
      <c r="A268" s="58"/>
      <c r="B268" s="1419" t="s">
        <v>301</v>
      </c>
      <c r="C268" s="1419"/>
      <c r="D268" s="339" t="s">
        <v>14</v>
      </c>
      <c r="E268" s="156">
        <f>-I218</f>
        <v>0</v>
      </c>
      <c r="F268" s="152"/>
      <c r="G268" s="153"/>
      <c r="H268" s="153"/>
      <c r="I268" s="1493"/>
      <c r="J268" s="1494"/>
    </row>
    <row r="269" spans="1:18">
      <c r="A269" s="58"/>
      <c r="B269" s="1419" t="s">
        <v>288</v>
      </c>
      <c r="C269" s="1419"/>
      <c r="D269" s="339" t="s">
        <v>14</v>
      </c>
      <c r="E269" s="156">
        <f>+E264+E265+E266+E267+E268</f>
        <v>0</v>
      </c>
      <c r="F269" s="154">
        <f>+SUM(F264:F267)</f>
        <v>0</v>
      </c>
      <c r="G269" s="155">
        <f>+SUM(G264:G267)</f>
        <v>0</v>
      </c>
      <c r="H269" s="155">
        <f>+SUM(H264:H267)</f>
        <v>0</v>
      </c>
      <c r="I269" s="1491"/>
      <c r="J269" s="1492"/>
    </row>
    <row r="270" spans="1:18">
      <c r="A270" s="58"/>
      <c r="B270" s="101" t="s">
        <v>289</v>
      </c>
    </row>
    <row r="271" spans="1:18">
      <c r="A271" s="58"/>
    </row>
    <row r="272" spans="1:18">
      <c r="A272" s="58"/>
    </row>
    <row r="273" spans="1:1">
      <c r="A273" s="58"/>
    </row>
    <row r="274" spans="1:1">
      <c r="A274" s="58"/>
    </row>
    <row r="275" spans="1:1">
      <c r="A275" s="58"/>
    </row>
    <row r="276" spans="1:1">
      <c r="A276" s="58"/>
    </row>
    <row r="277" spans="1:1">
      <c r="A277" s="58"/>
    </row>
    <row r="278" spans="1:1">
      <c r="A278" s="58"/>
    </row>
    <row r="279" spans="1:1">
      <c r="A279" s="58"/>
    </row>
    <row r="280" spans="1:1">
      <c r="A280" s="58"/>
    </row>
    <row r="281" spans="1:1">
      <c r="A281" s="58"/>
    </row>
    <row r="282" spans="1:1">
      <c r="A282" s="58"/>
    </row>
    <row r="283" spans="1:1">
      <c r="A283" s="58"/>
    </row>
    <row r="284" spans="1:1">
      <c r="A284" s="58"/>
    </row>
    <row r="285" spans="1:1">
      <c r="A285" s="58"/>
    </row>
    <row r="286" spans="1:1">
      <c r="A286" s="58"/>
    </row>
    <row r="287" spans="1:1">
      <c r="A287" s="58"/>
    </row>
    <row r="288" spans="1:1">
      <c r="A288" s="58"/>
    </row>
    <row r="289" spans="1:1">
      <c r="A289" s="58"/>
    </row>
    <row r="290" spans="1:1">
      <c r="A290" s="58"/>
    </row>
    <row r="291" spans="1:1">
      <c r="A291" s="58"/>
    </row>
    <row r="292" spans="1:1">
      <c r="A292" s="58"/>
    </row>
    <row r="293" spans="1:1">
      <c r="A293" s="58"/>
    </row>
    <row r="294" spans="1:1">
      <c r="A294" s="58"/>
    </row>
    <row r="295" spans="1:1">
      <c r="A295" s="58"/>
    </row>
  </sheetData>
  <mergeCells count="358">
    <mergeCell ref="B269:C269"/>
    <mergeCell ref="I269:J269"/>
    <mergeCell ref="B266:C266"/>
    <mergeCell ref="I266:J266"/>
    <mergeCell ref="B267:C267"/>
    <mergeCell ref="I267:J267"/>
    <mergeCell ref="B268:C268"/>
    <mergeCell ref="I268:J268"/>
    <mergeCell ref="B263:C263"/>
    <mergeCell ref="I263:J263"/>
    <mergeCell ref="B264:C264"/>
    <mergeCell ref="I264:J264"/>
    <mergeCell ref="B265:C265"/>
    <mergeCell ref="I265:J265"/>
    <mergeCell ref="D257:E257"/>
    <mergeCell ref="G257:H257"/>
    <mergeCell ref="O257:R257"/>
    <mergeCell ref="C258:H258"/>
    <mergeCell ref="B262:C262"/>
    <mergeCell ref="I262:J262"/>
    <mergeCell ref="D255:E255"/>
    <mergeCell ref="G255:H255"/>
    <mergeCell ref="O255:R255"/>
    <mergeCell ref="D256:E256"/>
    <mergeCell ref="G256:H256"/>
    <mergeCell ref="O256:R256"/>
    <mergeCell ref="D253:E253"/>
    <mergeCell ref="G253:H253"/>
    <mergeCell ref="O253:R253"/>
    <mergeCell ref="D254:E254"/>
    <mergeCell ref="G254:H254"/>
    <mergeCell ref="O254:R254"/>
    <mergeCell ref="D251:E251"/>
    <mergeCell ref="G251:H251"/>
    <mergeCell ref="O251:R251"/>
    <mergeCell ref="D252:E252"/>
    <mergeCell ref="G252:H252"/>
    <mergeCell ref="O252:R252"/>
    <mergeCell ref="D249:E249"/>
    <mergeCell ref="G249:H249"/>
    <mergeCell ref="O249:R249"/>
    <mergeCell ref="D250:E250"/>
    <mergeCell ref="G250:H250"/>
    <mergeCell ref="O250:R250"/>
    <mergeCell ref="D247:E247"/>
    <mergeCell ref="G247:H247"/>
    <mergeCell ref="O247:R247"/>
    <mergeCell ref="D248:E248"/>
    <mergeCell ref="G248:H248"/>
    <mergeCell ref="O248:R248"/>
    <mergeCell ref="D245:E245"/>
    <mergeCell ref="G245:H245"/>
    <mergeCell ref="O245:R245"/>
    <mergeCell ref="D246:E246"/>
    <mergeCell ref="G246:H246"/>
    <mergeCell ref="O246:R246"/>
    <mergeCell ref="D243:E243"/>
    <mergeCell ref="G243:H243"/>
    <mergeCell ref="O243:R243"/>
    <mergeCell ref="D244:E244"/>
    <mergeCell ref="G244:H244"/>
    <mergeCell ref="O244:R244"/>
    <mergeCell ref="D241:E241"/>
    <mergeCell ref="G241:H241"/>
    <mergeCell ref="O241:R241"/>
    <mergeCell ref="D242:E242"/>
    <mergeCell ref="G242:H242"/>
    <mergeCell ref="O242:R242"/>
    <mergeCell ref="D236:E236"/>
    <mergeCell ref="G236:H236"/>
    <mergeCell ref="O236:R236"/>
    <mergeCell ref="C237:H237"/>
    <mergeCell ref="D240:E240"/>
    <mergeCell ref="G240:H240"/>
    <mergeCell ref="I240:J240"/>
    <mergeCell ref="K240:L240"/>
    <mergeCell ref="M240:N240"/>
    <mergeCell ref="O240:R240"/>
    <mergeCell ref="D234:E234"/>
    <mergeCell ref="G234:H234"/>
    <mergeCell ref="O234:R234"/>
    <mergeCell ref="D235:E235"/>
    <mergeCell ref="G235:H235"/>
    <mergeCell ref="O235:R235"/>
    <mergeCell ref="B231:B237"/>
    <mergeCell ref="D231:E231"/>
    <mergeCell ref="G231:H231"/>
    <mergeCell ref="O231:R231"/>
    <mergeCell ref="D232:E232"/>
    <mergeCell ref="G232:H232"/>
    <mergeCell ref="O232:R232"/>
    <mergeCell ref="D233:E233"/>
    <mergeCell ref="G233:H233"/>
    <mergeCell ref="O233:R233"/>
    <mergeCell ref="D230:E230"/>
    <mergeCell ref="G230:H230"/>
    <mergeCell ref="I230:J230"/>
    <mergeCell ref="K230:L230"/>
    <mergeCell ref="M230:N230"/>
    <mergeCell ref="O230:R230"/>
    <mergeCell ref="C224:H224"/>
    <mergeCell ref="G225:H225"/>
    <mergeCell ref="I225:J225"/>
    <mergeCell ref="K225:L225"/>
    <mergeCell ref="M225:R225"/>
    <mergeCell ref="B226:B227"/>
    <mergeCell ref="M226:R226"/>
    <mergeCell ref="C227:H227"/>
    <mergeCell ref="B217:B218"/>
    <mergeCell ref="C218:H218"/>
    <mergeCell ref="I221:J221"/>
    <mergeCell ref="K221:L221"/>
    <mergeCell ref="M221:N221"/>
    <mergeCell ref="B222:B224"/>
    <mergeCell ref="C222:C223"/>
    <mergeCell ref="D222:D223"/>
    <mergeCell ref="G222:G223"/>
    <mergeCell ref="H222:H223"/>
    <mergeCell ref="M211:R211"/>
    <mergeCell ref="C212:H212"/>
    <mergeCell ref="M212:R212"/>
    <mergeCell ref="G216:H216"/>
    <mergeCell ref="I216:J216"/>
    <mergeCell ref="K216:L216"/>
    <mergeCell ref="M216:N216"/>
    <mergeCell ref="K203:L203"/>
    <mergeCell ref="M203:R203"/>
    <mergeCell ref="B204:B212"/>
    <mergeCell ref="M204:R204"/>
    <mergeCell ref="M205:R205"/>
    <mergeCell ref="M206:R206"/>
    <mergeCell ref="M207:R207"/>
    <mergeCell ref="M208:R208"/>
    <mergeCell ref="M209:R209"/>
    <mergeCell ref="M210:R210"/>
    <mergeCell ref="D196:D198"/>
    <mergeCell ref="C199:C201"/>
    <mergeCell ref="D199:D201"/>
    <mergeCell ref="C202:H202"/>
    <mergeCell ref="G203:H203"/>
    <mergeCell ref="I203:J203"/>
    <mergeCell ref="B187:B202"/>
    <mergeCell ref="C187:C188"/>
    <mergeCell ref="D187:D188"/>
    <mergeCell ref="N187:N188"/>
    <mergeCell ref="C189:C190"/>
    <mergeCell ref="D189:D190"/>
    <mergeCell ref="N189:N190"/>
    <mergeCell ref="C192:C193"/>
    <mergeCell ref="D192:D193"/>
    <mergeCell ref="C196:C198"/>
    <mergeCell ref="M182:R182"/>
    <mergeCell ref="C183:H183"/>
    <mergeCell ref="M183:R183"/>
    <mergeCell ref="G186:H186"/>
    <mergeCell ref="I186:J186"/>
    <mergeCell ref="K186:L186"/>
    <mergeCell ref="M186:N186"/>
    <mergeCell ref="K174:L174"/>
    <mergeCell ref="M174:R174"/>
    <mergeCell ref="B175:B183"/>
    <mergeCell ref="M175:R175"/>
    <mergeCell ref="M176:R176"/>
    <mergeCell ref="M177:R177"/>
    <mergeCell ref="M178:R178"/>
    <mergeCell ref="M179:R179"/>
    <mergeCell ref="M180:R180"/>
    <mergeCell ref="M181:R181"/>
    <mergeCell ref="D167:D169"/>
    <mergeCell ref="C170:C172"/>
    <mergeCell ref="D170:D172"/>
    <mergeCell ref="C173:H173"/>
    <mergeCell ref="G174:H174"/>
    <mergeCell ref="I174:J174"/>
    <mergeCell ref="B158:B173"/>
    <mergeCell ref="C158:C159"/>
    <mergeCell ref="D158:D159"/>
    <mergeCell ref="N158:N159"/>
    <mergeCell ref="C160:C161"/>
    <mergeCell ref="D160:D161"/>
    <mergeCell ref="N160:N161"/>
    <mergeCell ref="C163:C164"/>
    <mergeCell ref="D163:D164"/>
    <mergeCell ref="C167:C169"/>
    <mergeCell ref="C154:H154"/>
    <mergeCell ref="G157:H157"/>
    <mergeCell ref="I157:J157"/>
    <mergeCell ref="K157:L157"/>
    <mergeCell ref="M157:N157"/>
    <mergeCell ref="K145:L145"/>
    <mergeCell ref="M145:R145"/>
    <mergeCell ref="B146:B154"/>
    <mergeCell ref="M146:R146"/>
    <mergeCell ref="M147:R147"/>
    <mergeCell ref="M148:R148"/>
    <mergeCell ref="M149:R149"/>
    <mergeCell ref="M150:R150"/>
    <mergeCell ref="M151:R151"/>
    <mergeCell ref="M152:R152"/>
    <mergeCell ref="C141:C143"/>
    <mergeCell ref="D141:D143"/>
    <mergeCell ref="C144:H144"/>
    <mergeCell ref="G145:H145"/>
    <mergeCell ref="I145:J145"/>
    <mergeCell ref="B129:B144"/>
    <mergeCell ref="C129:C130"/>
    <mergeCell ref="D129:D130"/>
    <mergeCell ref="M153:R153"/>
    <mergeCell ref="N129:N130"/>
    <mergeCell ref="C131:C132"/>
    <mergeCell ref="D131:D132"/>
    <mergeCell ref="N131:N132"/>
    <mergeCell ref="C134:C135"/>
    <mergeCell ref="D134:D135"/>
    <mergeCell ref="C138:C140"/>
    <mergeCell ref="M123:R123"/>
    <mergeCell ref="C124:H124"/>
    <mergeCell ref="G128:H128"/>
    <mergeCell ref="I128:J128"/>
    <mergeCell ref="K128:L128"/>
    <mergeCell ref="M128:N128"/>
    <mergeCell ref="D138:D140"/>
    <mergeCell ref="M115:R115"/>
    <mergeCell ref="B116:B124"/>
    <mergeCell ref="M116:R116"/>
    <mergeCell ref="M117:R117"/>
    <mergeCell ref="M118:R118"/>
    <mergeCell ref="M119:R119"/>
    <mergeCell ref="M120:R120"/>
    <mergeCell ref="M121:R121"/>
    <mergeCell ref="M122:R122"/>
    <mergeCell ref="C111:C113"/>
    <mergeCell ref="D111:D113"/>
    <mergeCell ref="C114:H114"/>
    <mergeCell ref="G115:H115"/>
    <mergeCell ref="I115:J115"/>
    <mergeCell ref="B99:B114"/>
    <mergeCell ref="C99:C100"/>
    <mergeCell ref="D99:D100"/>
    <mergeCell ref="K115:L115"/>
    <mergeCell ref="N99:N100"/>
    <mergeCell ref="C101:C102"/>
    <mergeCell ref="D101:D102"/>
    <mergeCell ref="N101:N102"/>
    <mergeCell ref="C104:C105"/>
    <mergeCell ref="D104:D105"/>
    <mergeCell ref="C108:C110"/>
    <mergeCell ref="M93:R93"/>
    <mergeCell ref="C94:H94"/>
    <mergeCell ref="M94:R94"/>
    <mergeCell ref="G98:H98"/>
    <mergeCell ref="I98:J98"/>
    <mergeCell ref="K98:L98"/>
    <mergeCell ref="M98:N98"/>
    <mergeCell ref="D108:D110"/>
    <mergeCell ref="M85:R85"/>
    <mergeCell ref="B86:B94"/>
    <mergeCell ref="M86:R86"/>
    <mergeCell ref="M87:R87"/>
    <mergeCell ref="M88:R88"/>
    <mergeCell ref="M89:R89"/>
    <mergeCell ref="M90:R90"/>
    <mergeCell ref="M91:R91"/>
    <mergeCell ref="M92:R92"/>
    <mergeCell ref="C81:C83"/>
    <mergeCell ref="D81:D83"/>
    <mergeCell ref="C84:H84"/>
    <mergeCell ref="G85:H85"/>
    <mergeCell ref="I85:J85"/>
    <mergeCell ref="B69:B84"/>
    <mergeCell ref="C69:C70"/>
    <mergeCell ref="D69:D70"/>
    <mergeCell ref="K85:L85"/>
    <mergeCell ref="N69:N70"/>
    <mergeCell ref="C71:C72"/>
    <mergeCell ref="D71:D72"/>
    <mergeCell ref="N71:N72"/>
    <mergeCell ref="C74:C75"/>
    <mergeCell ref="D74:D75"/>
    <mergeCell ref="C78:C80"/>
    <mergeCell ref="C64:H64"/>
    <mergeCell ref="M64:R64"/>
    <mergeCell ref="G68:H68"/>
    <mergeCell ref="I68:J68"/>
    <mergeCell ref="K68:L68"/>
    <mergeCell ref="M68:N68"/>
    <mergeCell ref="D78:D80"/>
    <mergeCell ref="B56:B64"/>
    <mergeCell ref="M56:R56"/>
    <mergeCell ref="M57:R57"/>
    <mergeCell ref="M58:R58"/>
    <mergeCell ref="M59:R59"/>
    <mergeCell ref="M60:R60"/>
    <mergeCell ref="M61:R61"/>
    <mergeCell ref="M62:R62"/>
    <mergeCell ref="M63:R63"/>
    <mergeCell ref="G55:H55"/>
    <mergeCell ref="I55:J55"/>
    <mergeCell ref="K55:L55"/>
    <mergeCell ref="D41:D42"/>
    <mergeCell ref="N41:N42"/>
    <mergeCell ref="C44:C45"/>
    <mergeCell ref="D44:D45"/>
    <mergeCell ref="C48:C50"/>
    <mergeCell ref="D48:D50"/>
    <mergeCell ref="M55:R55"/>
    <mergeCell ref="B37:C37"/>
    <mergeCell ref="G38:H38"/>
    <mergeCell ref="I38:J38"/>
    <mergeCell ref="K38:L38"/>
    <mergeCell ref="M38:N38"/>
    <mergeCell ref="B39:B54"/>
    <mergeCell ref="C39:C40"/>
    <mergeCell ref="D39:D40"/>
    <mergeCell ref="N39:N40"/>
    <mergeCell ref="C41:C42"/>
    <mergeCell ref="C51:C53"/>
    <mergeCell ref="D51:D53"/>
    <mergeCell ref="C54:H54"/>
    <mergeCell ref="B24:B34"/>
    <mergeCell ref="M24:R24"/>
    <mergeCell ref="M25:R25"/>
    <mergeCell ref="M26:R26"/>
    <mergeCell ref="M27:R27"/>
    <mergeCell ref="M28:R28"/>
    <mergeCell ref="C17:C18"/>
    <mergeCell ref="D17:D18"/>
    <mergeCell ref="N17:N18"/>
    <mergeCell ref="C19:C21"/>
    <mergeCell ref="D19:D21"/>
    <mergeCell ref="C22:H22"/>
    <mergeCell ref="M29:R29"/>
    <mergeCell ref="M30:R30"/>
    <mergeCell ref="M31:R31"/>
    <mergeCell ref="M32:R32"/>
    <mergeCell ref="M33:R33"/>
    <mergeCell ref="C34:H34"/>
    <mergeCell ref="M34:R34"/>
    <mergeCell ref="G23:H23"/>
    <mergeCell ref="I23:J23"/>
    <mergeCell ref="K23:L23"/>
    <mergeCell ref="M23:R23"/>
    <mergeCell ref="D7:D8"/>
    <mergeCell ref="N7:N8"/>
    <mergeCell ref="C10:C11"/>
    <mergeCell ref="D10:D11"/>
    <mergeCell ref="C14:C16"/>
    <mergeCell ref="D14:D16"/>
    <mergeCell ref="B3:C3"/>
    <mergeCell ref="G4:H4"/>
    <mergeCell ref="I4:J4"/>
    <mergeCell ref="K4:L4"/>
    <mergeCell ref="M4:N4"/>
    <mergeCell ref="B5:B22"/>
    <mergeCell ref="C5:C6"/>
    <mergeCell ref="D5:D6"/>
    <mergeCell ref="N5:N6"/>
    <mergeCell ref="C7:C8"/>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sheetPr>
  <dimension ref="B2:AB111"/>
  <sheetViews>
    <sheetView showGridLines="0" topLeftCell="H2" workbookViewId="0">
      <selection activeCell="X14" sqref="X14"/>
    </sheetView>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301" t="s">
        <v>697</v>
      </c>
      <c r="C2" s="1301"/>
      <c r="D2" s="1301"/>
      <c r="E2" s="1301"/>
      <c r="F2" s="1301"/>
      <c r="G2" s="1301"/>
      <c r="H2" s="1301"/>
      <c r="I2" s="1301"/>
      <c r="J2" s="1301"/>
      <c r="K2" s="1301"/>
      <c r="L2" s="1301"/>
      <c r="M2" s="1301"/>
      <c r="N2" s="1301"/>
      <c r="O2" s="1301"/>
      <c r="P2" s="1301"/>
      <c r="Q2" s="1301"/>
      <c r="R2" s="1301"/>
      <c r="S2" s="1301"/>
      <c r="T2" s="1301"/>
      <c r="U2" s="1301"/>
      <c r="V2" s="1301"/>
      <c r="W2" s="1301"/>
      <c r="X2" s="1301"/>
      <c r="Y2" s="1301"/>
    </row>
    <row r="3" spans="2:27" ht="14.25" thickBot="1">
      <c r="B3" s="1302" t="s">
        <v>330</v>
      </c>
      <c r="C3" s="1303"/>
      <c r="D3" s="1303"/>
      <c r="E3" s="1303"/>
      <c r="F3" s="1303"/>
      <c r="G3" s="1303"/>
      <c r="H3" s="1303"/>
      <c r="I3" s="1303"/>
      <c r="J3" s="1303"/>
      <c r="K3" s="1303"/>
      <c r="L3" s="1303"/>
      <c r="M3" s="1303"/>
      <c r="N3" s="1303"/>
      <c r="O3" s="1303"/>
      <c r="P3" s="1303"/>
      <c r="Q3" s="1303"/>
      <c r="R3" s="1303"/>
      <c r="S3" s="1303"/>
      <c r="T3" s="1303"/>
      <c r="U3" s="1303"/>
      <c r="V3" s="1303"/>
      <c r="W3" s="1303"/>
      <c r="X3" s="1303"/>
      <c r="Y3" s="1304"/>
    </row>
    <row r="4" spans="2:27">
      <c r="B4" s="1305" t="s">
        <v>48</v>
      </c>
      <c r="C4" s="1307" t="s">
        <v>23</v>
      </c>
      <c r="D4" s="1307"/>
      <c r="E4" s="1307"/>
      <c r="F4" s="1307"/>
      <c r="G4" s="1309" t="s">
        <v>49</v>
      </c>
      <c r="H4" s="1307" t="s">
        <v>24</v>
      </c>
      <c r="I4" s="1311">
        <f>⑤基本情報入力!L12</f>
        <v>0</v>
      </c>
      <c r="J4" s="1311">
        <f>+⑤基本情報入力!V12</f>
        <v>0</v>
      </c>
      <c r="K4" s="1311">
        <f>+⑤基本情報入力!AA12</f>
        <v>0</v>
      </c>
      <c r="L4" s="1311">
        <f>+⑤基本情報入力!AF12</f>
        <v>0</v>
      </c>
      <c r="M4" s="1311">
        <f>+⑤基本情報入力!AK12</f>
        <v>0</v>
      </c>
      <c r="N4" s="1319">
        <f>+⑤基本情報入力!AP12</f>
        <v>0</v>
      </c>
      <c r="O4" s="1311">
        <f>+⑤基本情報入力!AU12</f>
        <v>0</v>
      </c>
      <c r="P4" s="1311">
        <f>+⑤基本情報入力!L29</f>
        <v>0</v>
      </c>
      <c r="Q4" s="1311">
        <f>+⑤基本情報入力!Q29</f>
        <v>0</v>
      </c>
      <c r="R4" s="1311">
        <f>+⑤基本情報入力!V29</f>
        <v>0</v>
      </c>
      <c r="S4" s="1311">
        <f>+⑤基本情報入力!AA29</f>
        <v>0</v>
      </c>
      <c r="T4" s="1311">
        <f>+⑤基本情報入力!AF29</f>
        <v>0</v>
      </c>
      <c r="U4" s="1311">
        <f>+⑤基本情報入力!AK29</f>
        <v>0</v>
      </c>
      <c r="V4" s="1319">
        <f>+⑤基本情報入力!AP29</f>
        <v>0</v>
      </c>
      <c r="W4" s="1321">
        <f>+⑤基本情報入力!AU29</f>
        <v>0</v>
      </c>
      <c r="X4" s="1323" t="s">
        <v>55</v>
      </c>
      <c r="Y4" s="1317" t="s">
        <v>25</v>
      </c>
    </row>
    <row r="5" spans="2:27">
      <c r="B5" s="1306"/>
      <c r="C5" s="1308"/>
      <c r="D5" s="1308"/>
      <c r="E5" s="1308"/>
      <c r="F5" s="1308"/>
      <c r="G5" s="1310"/>
      <c r="H5" s="1308"/>
      <c r="I5" s="1285"/>
      <c r="J5" s="1285"/>
      <c r="K5" s="1285"/>
      <c r="L5" s="1285"/>
      <c r="M5" s="1285"/>
      <c r="N5" s="1320"/>
      <c r="O5" s="1285"/>
      <c r="P5" s="1285"/>
      <c r="Q5" s="1285"/>
      <c r="R5" s="1285"/>
      <c r="S5" s="1285"/>
      <c r="T5" s="1285"/>
      <c r="U5" s="1285"/>
      <c r="V5" s="1320"/>
      <c r="W5" s="1322"/>
      <c r="X5" s="1324"/>
      <c r="Y5" s="1318"/>
    </row>
    <row r="6" spans="2:27" ht="13.5" customHeight="1">
      <c r="B6" s="1306"/>
      <c r="C6" s="1308"/>
      <c r="D6" s="1308"/>
      <c r="E6" s="1308"/>
      <c r="F6" s="1308"/>
      <c r="G6" s="1310"/>
      <c r="H6" s="1308"/>
      <c r="I6" s="1312" t="str">
        <f>⑤基本情報入力!Q13</f>
        <v>脱水汚泥</v>
      </c>
      <c r="J6" s="1312">
        <f>+⑤基本情報入力!V13</f>
        <v>0</v>
      </c>
      <c r="K6" s="1312">
        <f>+⑤基本情報入力!AA13</f>
        <v>0</v>
      </c>
      <c r="L6" s="1312">
        <f>+⑤基本情報入力!AF13</f>
        <v>0</v>
      </c>
      <c r="M6" s="1313">
        <f>+⑤基本情報入力!AK13</f>
        <v>0</v>
      </c>
      <c r="N6" s="1313">
        <f>+⑤基本情報入力!AP13</f>
        <v>0</v>
      </c>
      <c r="O6" s="1312">
        <f>+⑤基本情報入力!AU13</f>
        <v>0</v>
      </c>
      <c r="P6" s="1312" t="str">
        <f>⑤基本情報入力!L30</f>
        <v>し尿</v>
      </c>
      <c r="Q6" s="1312" t="str">
        <f>+⑤基本情報入力!Q30</f>
        <v>浄化槽汚泥</v>
      </c>
      <c r="R6" s="1312" t="str">
        <f>+⑤基本情報入力!V30</f>
        <v>集落排水汚泥</v>
      </c>
      <c r="S6" s="1312" t="str">
        <f>+⑤基本情報入力!AA30</f>
        <v>生ごみ</v>
      </c>
      <c r="T6" s="1312">
        <f>+⑤基本情報入力!AF30</f>
        <v>0</v>
      </c>
      <c r="U6" s="1312">
        <f>+⑤基本情報入力!AK30</f>
        <v>0</v>
      </c>
      <c r="V6" s="1313">
        <f>+⑤基本情報入力!AP30</f>
        <v>0</v>
      </c>
      <c r="W6" s="1315">
        <f>+⑤基本情報入力!AU30</f>
        <v>0</v>
      </c>
      <c r="X6" s="1324"/>
      <c r="Y6" s="1318"/>
    </row>
    <row r="7" spans="2:27">
      <c r="B7" s="1306"/>
      <c r="C7" s="1308"/>
      <c r="D7" s="1308"/>
      <c r="E7" s="1308"/>
      <c r="F7" s="1308"/>
      <c r="G7" s="1310"/>
      <c r="H7" s="1308"/>
      <c r="I7" s="1312"/>
      <c r="J7" s="1312"/>
      <c r="K7" s="1312"/>
      <c r="L7" s="1312"/>
      <c r="M7" s="1314"/>
      <c r="N7" s="1314"/>
      <c r="O7" s="1312"/>
      <c r="P7" s="1312"/>
      <c r="Q7" s="1312"/>
      <c r="R7" s="1312"/>
      <c r="S7" s="1312"/>
      <c r="T7" s="1312"/>
      <c r="U7" s="1312"/>
      <c r="V7" s="1314"/>
      <c r="W7" s="1316"/>
      <c r="X7" s="1324"/>
      <c r="Y7" s="1318"/>
    </row>
    <row r="8" spans="2:27">
      <c r="B8" s="176" t="s">
        <v>390</v>
      </c>
      <c r="C8" s="1325" t="s">
        <v>70</v>
      </c>
      <c r="D8" s="1326" t="s">
        <v>56</v>
      </c>
      <c r="E8" s="1329" t="s">
        <v>57</v>
      </c>
      <c r="F8" s="464" t="s">
        <v>58</v>
      </c>
      <c r="G8" s="8" t="s">
        <v>50</v>
      </c>
      <c r="H8" s="212" t="s">
        <v>0</v>
      </c>
      <c r="I8" s="11">
        <f>+ROUND(⑤基本情報入力!Q14,2)</f>
        <v>0</v>
      </c>
      <c r="J8" s="11">
        <f>+ROUND(⑤基本情報入力!V14,2)</f>
        <v>0</v>
      </c>
      <c r="K8" s="11">
        <f>+ROUND(⑤基本情報入力!AA14,2)</f>
        <v>0</v>
      </c>
      <c r="L8" s="11">
        <f>+ROUND(⑤基本情報入力!AF14,2)</f>
        <v>0</v>
      </c>
      <c r="M8" s="11">
        <f>+ROUND(⑤基本情報入力!AK14,2)</f>
        <v>0</v>
      </c>
      <c r="N8" s="11">
        <f>+ROUND(⑤基本情報入力!AP14,2)</f>
        <v>0</v>
      </c>
      <c r="O8" s="11">
        <f>+ROUND(⑤基本情報入力!AU14,2)</f>
        <v>0</v>
      </c>
      <c r="P8" s="11">
        <f>+ROUND(⑤基本情報入力!L31,2)</f>
        <v>0</v>
      </c>
      <c r="Q8" s="11">
        <f>+ROUND(⑤基本情報入力!Q31,2)</f>
        <v>0</v>
      </c>
      <c r="R8" s="11">
        <f>+ROUND(⑤基本情報入力!V31,2)</f>
        <v>0</v>
      </c>
      <c r="S8" s="11">
        <f>+ROUND(⑤基本情報入力!AA31,2)</f>
        <v>0</v>
      </c>
      <c r="T8" s="11">
        <f>+ROUND(⑤基本情報入力!AF31,2)</f>
        <v>0</v>
      </c>
      <c r="U8" s="11">
        <f>+ROUND(⑤基本情報入力!AK31,2)</f>
        <v>0</v>
      </c>
      <c r="V8" s="11">
        <f>+ROUND(⑤基本情報入力!AP31,2)</f>
        <v>0</v>
      </c>
      <c r="W8" s="211">
        <f>+ROUND(⑤基本情報入力!AU31,2)</f>
        <v>0</v>
      </c>
      <c r="X8" s="10">
        <f t="shared" ref="X8:X13" si="0">+SUM(I8:V8)</f>
        <v>0</v>
      </c>
      <c r="Y8" s="13" t="s">
        <v>169</v>
      </c>
    </row>
    <row r="9" spans="2:27">
      <c r="B9" s="460" t="s">
        <v>391</v>
      </c>
      <c r="C9" s="1326"/>
      <c r="D9" s="1328"/>
      <c r="E9" s="1330"/>
      <c r="F9" s="465" t="s">
        <v>59</v>
      </c>
      <c r="G9" s="463" t="s">
        <v>65</v>
      </c>
      <c r="H9" s="458"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392</v>
      </c>
      <c r="C10" s="1326"/>
      <c r="D10" s="1331" t="s">
        <v>54</v>
      </c>
      <c r="E10" s="1332" t="s">
        <v>60</v>
      </c>
      <c r="F10" s="466" t="s">
        <v>61</v>
      </c>
      <c r="G10" s="274" t="s">
        <v>168</v>
      </c>
      <c r="H10" s="459" t="s">
        <v>0</v>
      </c>
      <c r="I10" s="275">
        <f>I8-I9</f>
        <v>0</v>
      </c>
      <c r="J10" s="275">
        <f>J8-J9</f>
        <v>0</v>
      </c>
      <c r="K10" s="275">
        <f t="shared" ref="K10:W10" si="2">K8-K9</f>
        <v>0</v>
      </c>
      <c r="L10" s="275">
        <f t="shared" si="2"/>
        <v>0</v>
      </c>
      <c r="M10" s="275">
        <f t="shared" si="2"/>
        <v>0</v>
      </c>
      <c r="N10" s="275">
        <f t="shared" si="2"/>
        <v>0</v>
      </c>
      <c r="O10" s="275">
        <f t="shared" si="2"/>
        <v>0</v>
      </c>
      <c r="P10" s="275">
        <f t="shared" si="2"/>
        <v>0</v>
      </c>
      <c r="Q10" s="275">
        <f t="shared" si="2"/>
        <v>0</v>
      </c>
      <c r="R10" s="275">
        <f t="shared" si="2"/>
        <v>0</v>
      </c>
      <c r="S10" s="275">
        <f t="shared" si="2"/>
        <v>0</v>
      </c>
      <c r="T10" s="275">
        <f t="shared" si="2"/>
        <v>0</v>
      </c>
      <c r="U10" s="275">
        <f t="shared" si="2"/>
        <v>0</v>
      </c>
      <c r="V10" s="275">
        <f t="shared" si="2"/>
        <v>0</v>
      </c>
      <c r="W10" s="306">
        <f t="shared" si="2"/>
        <v>0</v>
      </c>
      <c r="X10" s="281">
        <f t="shared" si="0"/>
        <v>0</v>
      </c>
      <c r="Y10" s="276"/>
      <c r="Z10" s="277"/>
      <c r="AA10" s="278"/>
    </row>
    <row r="11" spans="2:27">
      <c r="B11" s="460" t="s">
        <v>393</v>
      </c>
      <c r="C11" s="1326"/>
      <c r="D11" s="1326"/>
      <c r="E11" s="1329"/>
      <c r="F11" s="465" t="s">
        <v>62</v>
      </c>
      <c r="G11" s="463" t="s">
        <v>66</v>
      </c>
      <c r="H11" s="458" t="s">
        <v>162</v>
      </c>
      <c r="I11" s="14">
        <f>ROUND(+I10*I15/100,2)</f>
        <v>0</v>
      </c>
      <c r="J11" s="14">
        <f>ROUND(+J10*J15/100,2)</f>
        <v>0</v>
      </c>
      <c r="K11" s="14">
        <f t="shared" ref="K11:W11" si="3">ROUND(+K10*K15/100,2)</f>
        <v>0</v>
      </c>
      <c r="L11" s="14">
        <f t="shared" si="3"/>
        <v>0</v>
      </c>
      <c r="M11" s="14">
        <f t="shared" si="3"/>
        <v>0</v>
      </c>
      <c r="N11" s="14">
        <f t="shared" si="3"/>
        <v>0</v>
      </c>
      <c r="O11" s="14">
        <f t="shared" si="3"/>
        <v>0</v>
      </c>
      <c r="P11" s="14">
        <f t="shared" si="3"/>
        <v>0</v>
      </c>
      <c r="Q11" s="14">
        <f t="shared" si="3"/>
        <v>0</v>
      </c>
      <c r="R11" s="14">
        <f t="shared" si="3"/>
        <v>0</v>
      </c>
      <c r="S11" s="14">
        <f t="shared" si="3"/>
        <v>0</v>
      </c>
      <c r="T11" s="14">
        <f t="shared" si="3"/>
        <v>0</v>
      </c>
      <c r="U11" s="14">
        <f t="shared" si="3"/>
        <v>0</v>
      </c>
      <c r="V11" s="14">
        <f t="shared" si="3"/>
        <v>0</v>
      </c>
      <c r="W11" s="210">
        <f t="shared" si="3"/>
        <v>0</v>
      </c>
      <c r="X11" s="15">
        <f t="shared" si="0"/>
        <v>0</v>
      </c>
      <c r="Y11" s="17"/>
    </row>
    <row r="12" spans="2:27">
      <c r="B12" s="460" t="s">
        <v>394</v>
      </c>
      <c r="C12" s="1326"/>
      <c r="D12" s="1326"/>
      <c r="E12" s="1329"/>
      <c r="F12" s="465" t="s">
        <v>63</v>
      </c>
      <c r="G12" s="19" t="s">
        <v>67</v>
      </c>
      <c r="H12" s="458" t="s">
        <v>69</v>
      </c>
      <c r="I12" s="14">
        <f>+I10-I11</f>
        <v>0</v>
      </c>
      <c r="J12" s="14">
        <f>+J10-J11</f>
        <v>0</v>
      </c>
      <c r="K12" s="14">
        <f t="shared" ref="K12:W12" si="4">+K10-K11</f>
        <v>0</v>
      </c>
      <c r="L12" s="14">
        <f t="shared" si="4"/>
        <v>0</v>
      </c>
      <c r="M12" s="14">
        <f t="shared" si="4"/>
        <v>0</v>
      </c>
      <c r="N12" s="14">
        <f t="shared" si="4"/>
        <v>0</v>
      </c>
      <c r="O12" s="14">
        <f t="shared" si="4"/>
        <v>0</v>
      </c>
      <c r="P12" s="14">
        <f t="shared" si="4"/>
        <v>0</v>
      </c>
      <c r="Q12" s="14">
        <f t="shared" si="4"/>
        <v>0</v>
      </c>
      <c r="R12" s="14">
        <f t="shared" si="4"/>
        <v>0</v>
      </c>
      <c r="S12" s="14">
        <f t="shared" si="4"/>
        <v>0</v>
      </c>
      <c r="T12" s="14">
        <f t="shared" si="4"/>
        <v>0</v>
      </c>
      <c r="U12" s="14">
        <f t="shared" si="4"/>
        <v>0</v>
      </c>
      <c r="V12" s="14">
        <f t="shared" si="4"/>
        <v>0</v>
      </c>
      <c r="W12" s="210">
        <f t="shared" si="4"/>
        <v>0</v>
      </c>
      <c r="X12" s="15">
        <f t="shared" si="0"/>
        <v>0</v>
      </c>
      <c r="Y12" s="17"/>
    </row>
    <row r="13" spans="2:27" ht="15.75" customHeight="1" thickBot="1">
      <c r="B13" s="460" t="s">
        <v>395</v>
      </c>
      <c r="C13" s="1327"/>
      <c r="D13" s="1327"/>
      <c r="E13" s="1333"/>
      <c r="F13" s="192" t="s">
        <v>64</v>
      </c>
      <c r="G13" s="204" t="s">
        <v>68</v>
      </c>
      <c r="H13" s="458" t="s">
        <v>35</v>
      </c>
      <c r="I13" s="190">
        <f>ROUND(+I11*I16/100,2)</f>
        <v>0</v>
      </c>
      <c r="J13" s="190">
        <f>ROUND(+J11*J16/100,2)</f>
        <v>0</v>
      </c>
      <c r="K13" s="190">
        <f t="shared" ref="K13:W13" si="5">ROUND(+K11*K16/100,2)</f>
        <v>0</v>
      </c>
      <c r="L13" s="190">
        <f t="shared" si="5"/>
        <v>0</v>
      </c>
      <c r="M13" s="190">
        <f t="shared" si="5"/>
        <v>0</v>
      </c>
      <c r="N13" s="190">
        <f t="shared" si="5"/>
        <v>0</v>
      </c>
      <c r="O13" s="190">
        <f t="shared" si="5"/>
        <v>0</v>
      </c>
      <c r="P13" s="190">
        <f t="shared" si="5"/>
        <v>0</v>
      </c>
      <c r="Q13" s="190">
        <f t="shared" si="5"/>
        <v>0</v>
      </c>
      <c r="R13" s="190">
        <f t="shared" si="5"/>
        <v>0</v>
      </c>
      <c r="S13" s="190">
        <f t="shared" si="5"/>
        <v>0</v>
      </c>
      <c r="T13" s="190">
        <f t="shared" si="5"/>
        <v>0</v>
      </c>
      <c r="U13" s="190">
        <f t="shared" si="5"/>
        <v>0</v>
      </c>
      <c r="V13" s="190">
        <f t="shared" si="5"/>
        <v>0</v>
      </c>
      <c r="W13" s="307">
        <f t="shared" si="5"/>
        <v>0</v>
      </c>
      <c r="X13" s="205">
        <f t="shared" si="0"/>
        <v>0</v>
      </c>
      <c r="Y13" s="193"/>
    </row>
    <row r="14" spans="2:27" ht="13.5" customHeight="1">
      <c r="B14" s="262" t="s">
        <v>396</v>
      </c>
      <c r="C14" s="1334" t="s">
        <v>89</v>
      </c>
      <c r="D14" s="461" t="s">
        <v>56</v>
      </c>
      <c r="E14" s="467" t="s">
        <v>57</v>
      </c>
      <c r="F14" s="467" t="s">
        <v>71</v>
      </c>
      <c r="G14" s="183" t="s">
        <v>50</v>
      </c>
      <c r="H14" s="263" t="s">
        <v>53</v>
      </c>
      <c r="I14" s="42">
        <f>+ROUND(⑤基本情報入力!Q16,1)</f>
        <v>0</v>
      </c>
      <c r="J14" s="42">
        <f>+ROUND(⑤基本情報入力!V16,1)</f>
        <v>0</v>
      </c>
      <c r="K14" s="42">
        <f>+ROUND(⑤基本情報入力!AA16,1)</f>
        <v>0</v>
      </c>
      <c r="L14" s="42">
        <f>+ROUND(⑤基本情報入力!AF16,1)</f>
        <v>0</v>
      </c>
      <c r="M14" s="42">
        <f>+ROUND(⑤基本情報入力!AK16,1)</f>
        <v>0</v>
      </c>
      <c r="N14" s="42">
        <f>+ROUND(⑤基本情報入力!AP16,1)</f>
        <v>0</v>
      </c>
      <c r="O14" s="42">
        <f>+ROUND(⑤基本情報入力!AU16,1)</f>
        <v>0</v>
      </c>
      <c r="P14" s="42">
        <f>+ROUND(⑤基本情報入力!L33,1)</f>
        <v>0</v>
      </c>
      <c r="Q14" s="42">
        <f>+ROUND(⑤基本情報入力!Q33,1)</f>
        <v>0</v>
      </c>
      <c r="R14" s="42">
        <f>+ROUND(⑤基本情報入力!V33,1)</f>
        <v>0</v>
      </c>
      <c r="S14" s="42">
        <f>+ROUND(⑤基本情報入力!AA33,1)</f>
        <v>0</v>
      </c>
      <c r="T14" s="42">
        <f>+ROUND(⑤基本情報入力!AF33,1)</f>
        <v>0</v>
      </c>
      <c r="U14" s="42">
        <f>+ROUND(⑤基本情報入力!AK33,1)</f>
        <v>0</v>
      </c>
      <c r="V14" s="42">
        <f>+ROUND(⑤基本情報入力!AP33,1)</f>
        <v>0</v>
      </c>
      <c r="W14" s="61">
        <f>+ROUND(⑤基本情報入力!AU33,1)</f>
        <v>0</v>
      </c>
      <c r="X14" s="59" t="e">
        <f>+ROUND(X9/X8*100,1)</f>
        <v>#DIV/0!</v>
      </c>
      <c r="Y14" s="20"/>
    </row>
    <row r="15" spans="2:27" ht="13.5" customHeight="1">
      <c r="B15" s="460" t="s">
        <v>397</v>
      </c>
      <c r="C15" s="1325"/>
      <c r="D15" s="1331" t="s">
        <v>54</v>
      </c>
      <c r="E15" s="1336" t="s">
        <v>60</v>
      </c>
      <c r="F15" s="21" t="s">
        <v>51</v>
      </c>
      <c r="G15" s="170" t="s">
        <v>50</v>
      </c>
      <c r="H15" s="458" t="s">
        <v>53</v>
      </c>
      <c r="I15" s="43">
        <f>+ROUND(⑤基本情報入力!Q17,1)</f>
        <v>0</v>
      </c>
      <c r="J15" s="43">
        <f>+ROUND(⑤基本情報入力!V17,1)</f>
        <v>0</v>
      </c>
      <c r="K15" s="43">
        <f>+ROUND(⑤基本情報入力!AA17,1)</f>
        <v>0</v>
      </c>
      <c r="L15" s="43">
        <f>+ROUND(⑤基本情報入力!AF17,1)</f>
        <v>0</v>
      </c>
      <c r="M15" s="43">
        <f>+ROUND(⑤基本情報入力!AK17,1)</f>
        <v>0</v>
      </c>
      <c r="N15" s="43">
        <f>+ROUND(⑤基本情報入力!AP17,1)</f>
        <v>0</v>
      </c>
      <c r="O15" s="43">
        <f>+ROUND(⑤基本情報入力!AU17,1)</f>
        <v>0</v>
      </c>
      <c r="P15" s="43">
        <f>+ROUND(⑤基本情報入力!L34,1)</f>
        <v>0</v>
      </c>
      <c r="Q15" s="43">
        <f>+ROUND(⑤基本情報入力!Q34,1)</f>
        <v>0</v>
      </c>
      <c r="R15" s="43">
        <f>+ROUND(⑤基本情報入力!V34,1)</f>
        <v>0</v>
      </c>
      <c r="S15" s="43">
        <f>+ROUND(⑤基本情報入力!AA34,1)</f>
        <v>0</v>
      </c>
      <c r="T15" s="43">
        <f>+ROUND(⑤基本情報入力!AF34,1)</f>
        <v>0</v>
      </c>
      <c r="U15" s="43">
        <f>+ROUND(⑤基本情報入力!AK34,1)</f>
        <v>0</v>
      </c>
      <c r="V15" s="43">
        <f>+ROUND(⑤基本情報入力!AP34,1)</f>
        <v>0</v>
      </c>
      <c r="W15" s="62">
        <f>+ROUND(⑤基本情報入力!AU34,1)</f>
        <v>0</v>
      </c>
      <c r="X15" s="26">
        <f>IF(X10=0,0,ROUND(+X11/X10*100,1))</f>
        <v>0</v>
      </c>
      <c r="Y15" s="40"/>
    </row>
    <row r="16" spans="2:27">
      <c r="B16" s="460" t="s">
        <v>398</v>
      </c>
      <c r="C16" s="1325"/>
      <c r="D16" s="1325"/>
      <c r="E16" s="1336"/>
      <c r="F16" s="21" t="s">
        <v>52</v>
      </c>
      <c r="G16" s="170" t="s">
        <v>50</v>
      </c>
      <c r="H16" s="458" t="s">
        <v>91</v>
      </c>
      <c r="I16" s="43">
        <f>+ROUND(⑤基本情報入力!Q18,1)</f>
        <v>0</v>
      </c>
      <c r="J16" s="43">
        <f>+ROUND(⑤基本情報入力!V18,1)</f>
        <v>0</v>
      </c>
      <c r="K16" s="43">
        <f>+ROUND(⑤基本情報入力!AA18,1)</f>
        <v>0</v>
      </c>
      <c r="L16" s="43">
        <f>+ROUND(⑤基本情報入力!AF18,1)</f>
        <v>0</v>
      </c>
      <c r="M16" s="43">
        <f>+ROUND(⑤基本情報入力!AK18,1)</f>
        <v>0</v>
      </c>
      <c r="N16" s="43">
        <f>+ROUND(⑤基本情報入力!AP18,1)</f>
        <v>0</v>
      </c>
      <c r="O16" s="43">
        <f>+ROUND(⑤基本情報入力!AU18,1)</f>
        <v>0</v>
      </c>
      <c r="P16" s="43">
        <f>+ROUND(⑤基本情報入力!L35,1)</f>
        <v>0</v>
      </c>
      <c r="Q16" s="43">
        <f>+ROUND(⑤基本情報入力!Q35,1)</f>
        <v>0</v>
      </c>
      <c r="R16" s="43">
        <f>+ROUND(⑤基本情報入力!V35,1)</f>
        <v>0</v>
      </c>
      <c r="S16" s="43">
        <f>+ROUND(⑤基本情報入力!AA35,1)</f>
        <v>0</v>
      </c>
      <c r="T16" s="43">
        <f>+ROUND(⑤基本情報入力!AF35,1)</f>
        <v>0</v>
      </c>
      <c r="U16" s="43">
        <f>+ROUND(⑤基本情報入力!AK35,1)</f>
        <v>0</v>
      </c>
      <c r="V16" s="43">
        <f>+ROUND(⑤基本情報入力!AP35,1)</f>
        <v>0</v>
      </c>
      <c r="W16" s="62">
        <f>+ROUND(⑤基本情報入力!AU35,1)</f>
        <v>0</v>
      </c>
      <c r="X16" s="26" t="e">
        <f>+ROUND(X13/X11*100,1)</f>
        <v>#DIV/0!</v>
      </c>
      <c r="Y16" s="22"/>
    </row>
    <row r="17" spans="2:28">
      <c r="B17" s="460" t="s">
        <v>399</v>
      </c>
      <c r="C17" s="1325"/>
      <c r="D17" s="1325"/>
      <c r="E17" s="1356" t="s">
        <v>72</v>
      </c>
      <c r="F17" s="478" t="s">
        <v>73</v>
      </c>
      <c r="G17" s="170" t="s">
        <v>50</v>
      </c>
      <c r="H17" s="458" t="s">
        <v>53</v>
      </c>
      <c r="I17" s="267">
        <f>+ROUND(⑤基本情報入力!Q19*IF(⑤基本情報入力!E98="〇","1.3","1"),1)</f>
        <v>0</v>
      </c>
      <c r="J17" s="43">
        <f>+ROUND(⑤基本情報入力!V19*IF(⑤基本情報入力!E98="〇","1.3","1"),1)</f>
        <v>0</v>
      </c>
      <c r="K17" s="43">
        <f>+ROUND(⑤基本情報入力!AA19*IF(⑤基本情報入力!E98="〇","1.3","1"),1)</f>
        <v>0</v>
      </c>
      <c r="L17" s="43">
        <f>+ROUND(⑤基本情報入力!AF19*IF(⑤基本情報入力!E98="〇","1.3","1"),1)</f>
        <v>0</v>
      </c>
      <c r="M17" s="43">
        <f>+ROUND(⑤基本情報入力!AK19*IF(⑤基本情報入力!E98="〇","1.3","1"),1)</f>
        <v>0</v>
      </c>
      <c r="N17" s="43">
        <f>+ROUND(⑤基本情報入力!AP19*IF(⑤基本情報入力!E98="〇","1.3","1"),1)</f>
        <v>0</v>
      </c>
      <c r="O17" s="43">
        <f>+ROUND(⑤基本情報入力!AU19*IF(⑤基本情報入力!E98="〇","1.3","1"),1)</f>
        <v>0</v>
      </c>
      <c r="P17" s="43">
        <f>+ROUND(⑤基本情報入力!L36,1)</f>
        <v>0</v>
      </c>
      <c r="Q17" s="43">
        <f>+ROUND(⑤基本情報入力!Q36,1)</f>
        <v>0</v>
      </c>
      <c r="R17" s="43">
        <f>+ROUND(⑤基本情報入力!V36,1)</f>
        <v>0</v>
      </c>
      <c r="S17" s="43">
        <f>+ROUND(⑤基本情報入力!AA36,1)</f>
        <v>0</v>
      </c>
      <c r="T17" s="43">
        <f>+ROUND(⑤基本情報入力!AF36,1)</f>
        <v>0</v>
      </c>
      <c r="U17" s="43">
        <f>+ROUND(⑤基本情報入力!AK36,1)</f>
        <v>0</v>
      </c>
      <c r="V17" s="43">
        <f>+ROUND(⑤基本情報入力!AP36,1)</f>
        <v>0</v>
      </c>
      <c r="W17" s="62">
        <f>+ROUND(⑤基本情報入力!AU36,1)</f>
        <v>0</v>
      </c>
      <c r="X17" s="26" t="e">
        <f>+ROUND(X30/X13*100,1)</f>
        <v>#DIV/0!</v>
      </c>
      <c r="Y17" s="22"/>
    </row>
    <row r="18" spans="2:28" ht="15.75">
      <c r="B18" s="460" t="s">
        <v>400</v>
      </c>
      <c r="C18" s="1325"/>
      <c r="D18" s="1325"/>
      <c r="E18" s="1356"/>
      <c r="F18" s="478" t="s">
        <v>74</v>
      </c>
      <c r="G18" s="170" t="s">
        <v>50</v>
      </c>
      <c r="H18" s="458" t="s">
        <v>423</v>
      </c>
      <c r="I18" s="43">
        <f>+ROUND(⑤基本情報入力!Q20,1)</f>
        <v>0</v>
      </c>
      <c r="J18" s="43">
        <f>+ROUND(⑤基本情報入力!V20,1)</f>
        <v>0</v>
      </c>
      <c r="K18" s="43">
        <f>+ROUND(⑤基本情報入力!AA20,1)</f>
        <v>0</v>
      </c>
      <c r="L18" s="43">
        <f>+ROUND(⑤基本情報入力!AF20,1)</f>
        <v>0</v>
      </c>
      <c r="M18" s="43">
        <f>+ROUND(⑤基本情報入力!AK20,1)</f>
        <v>0</v>
      </c>
      <c r="N18" s="43">
        <f>+ROUND(⑤基本情報入力!AP20,1)</f>
        <v>0</v>
      </c>
      <c r="O18" s="43">
        <f>+ROUND(⑤基本情報入力!AU20,1)</f>
        <v>0</v>
      </c>
      <c r="P18" s="43">
        <f>+ROUND(⑤基本情報入力!L37,1)</f>
        <v>0</v>
      </c>
      <c r="Q18" s="43">
        <f>+ROUND(⑤基本情報入力!Q37,1)</f>
        <v>0</v>
      </c>
      <c r="R18" s="43">
        <f>+ROUND(⑤基本情報入力!V37,1)</f>
        <v>0</v>
      </c>
      <c r="S18" s="43">
        <f>+ROUND(⑤基本情報入力!AA37,1)</f>
        <v>0</v>
      </c>
      <c r="T18" s="43">
        <f>+ROUND(⑤基本情報入力!AF37,1)</f>
        <v>0</v>
      </c>
      <c r="U18" s="43">
        <f>+ROUND(⑤基本情報入力!AK37,1)</f>
        <v>0</v>
      </c>
      <c r="V18" s="43">
        <f>+ROUND(⑤基本情報入力!AP37,1)</f>
        <v>0</v>
      </c>
      <c r="W18" s="62">
        <f>+ROUND(⑤基本情報入力!AU37,1)</f>
        <v>0</v>
      </c>
      <c r="X18" s="26" t="e">
        <f>+ROUND(X33/X30/1000,2)</f>
        <v>#DIV/0!</v>
      </c>
      <c r="Y18" s="22"/>
    </row>
    <row r="19" spans="2:28" ht="15.75">
      <c r="B19" s="460" t="s">
        <v>401</v>
      </c>
      <c r="C19" s="1325"/>
      <c r="D19" s="1325"/>
      <c r="E19" s="1356"/>
      <c r="F19" s="477" t="s">
        <v>75</v>
      </c>
      <c r="G19" s="170" t="s">
        <v>79</v>
      </c>
      <c r="H19" s="458" t="s">
        <v>221</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v>35739</v>
      </c>
      <c r="Y19" s="1353" t="s">
        <v>579</v>
      </c>
    </row>
    <row r="20" spans="2:28">
      <c r="B20" s="460" t="s">
        <v>402</v>
      </c>
      <c r="C20" s="1325"/>
      <c r="D20" s="1325"/>
      <c r="E20" s="1356"/>
      <c r="F20" s="478" t="s">
        <v>76</v>
      </c>
      <c r="G20" s="170" t="s">
        <v>50</v>
      </c>
      <c r="H20" s="458"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v>60</v>
      </c>
      <c r="Y20" s="1354"/>
      <c r="AB20" s="24"/>
    </row>
    <row r="21" spans="2:28" ht="15.75">
      <c r="B21" s="460" t="s">
        <v>403</v>
      </c>
      <c r="C21" s="1325"/>
      <c r="D21" s="1325"/>
      <c r="E21" s="1356"/>
      <c r="F21" s="478" t="s">
        <v>77</v>
      </c>
      <c r="G21" s="182" t="s">
        <v>374</v>
      </c>
      <c r="H21" s="458" t="s">
        <v>221</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54"/>
    </row>
    <row r="22" spans="2:28">
      <c r="B22" s="460" t="s">
        <v>404</v>
      </c>
      <c r="C22" s="1325"/>
      <c r="D22" s="1325"/>
      <c r="E22" s="1495" t="s">
        <v>106</v>
      </c>
      <c r="F22" s="479" t="s">
        <v>104</v>
      </c>
      <c r="G22" s="170" t="s">
        <v>50</v>
      </c>
      <c r="H22" s="458"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v>35</v>
      </c>
      <c r="Y22" s="1354"/>
    </row>
    <row r="23" spans="2:28">
      <c r="B23" s="460" t="s">
        <v>405</v>
      </c>
      <c r="C23" s="1325"/>
      <c r="D23" s="1325"/>
      <c r="E23" s="1495"/>
      <c r="F23" s="479" t="s">
        <v>105</v>
      </c>
      <c r="G23" s="170" t="s">
        <v>50</v>
      </c>
      <c r="H23" s="458"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v>10</v>
      </c>
      <c r="Y23" s="1354"/>
    </row>
    <row r="24" spans="2:28">
      <c r="B24" s="460" t="s">
        <v>406</v>
      </c>
      <c r="C24" s="1325"/>
      <c r="D24" s="1347" t="s">
        <v>353</v>
      </c>
      <c r="E24" s="1344" t="s">
        <v>223</v>
      </c>
      <c r="F24" s="1345"/>
      <c r="G24" s="170" t="s">
        <v>50</v>
      </c>
      <c r="H24" s="458"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v>35</v>
      </c>
      <c r="Y24" s="1354"/>
    </row>
    <row r="25" spans="2:28">
      <c r="B25" s="460" t="s">
        <v>407</v>
      </c>
      <c r="C25" s="1325"/>
      <c r="D25" s="1348"/>
      <c r="E25" s="1344" t="s">
        <v>224</v>
      </c>
      <c r="F25" s="1345"/>
      <c r="G25" s="170" t="s">
        <v>50</v>
      </c>
      <c r="H25" s="458" t="s">
        <v>217</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v>0.93</v>
      </c>
      <c r="Y25" s="1354"/>
    </row>
    <row r="26" spans="2:28">
      <c r="B26" s="188" t="s">
        <v>408</v>
      </c>
      <c r="C26" s="1325"/>
      <c r="D26" s="1349"/>
      <c r="E26" s="168" t="s">
        <v>225</v>
      </c>
      <c r="F26" s="169"/>
      <c r="G26" s="170" t="s">
        <v>50</v>
      </c>
      <c r="H26" s="458"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v>50</v>
      </c>
      <c r="Y26" s="1354"/>
    </row>
    <row r="27" spans="2:28">
      <c r="B27" s="460" t="s">
        <v>409</v>
      </c>
      <c r="C27" s="1325"/>
      <c r="D27" s="462" t="s">
        <v>30</v>
      </c>
      <c r="E27" s="1344" t="s">
        <v>78</v>
      </c>
      <c r="F27" s="1345"/>
      <c r="G27" s="170" t="s">
        <v>50</v>
      </c>
      <c r="H27" s="458"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v>85</v>
      </c>
      <c r="Y27" s="1354"/>
    </row>
    <row r="28" spans="2:28">
      <c r="B28" s="460" t="s">
        <v>410</v>
      </c>
      <c r="C28" s="1325"/>
      <c r="D28" s="1350" t="s">
        <v>101</v>
      </c>
      <c r="E28" s="489" t="s">
        <v>102</v>
      </c>
      <c r="F28" s="490"/>
      <c r="G28" s="170" t="s">
        <v>50</v>
      </c>
      <c r="H28" s="458"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v>25</v>
      </c>
      <c r="Y28" s="1354"/>
    </row>
    <row r="29" spans="2:28" ht="14.25" thickBot="1">
      <c r="B29" s="194" t="s">
        <v>411</v>
      </c>
      <c r="C29" s="1335"/>
      <c r="D29" s="1327"/>
      <c r="E29" s="480" t="s">
        <v>103</v>
      </c>
      <c r="F29" s="481"/>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v>15</v>
      </c>
      <c r="Y29" s="1355"/>
    </row>
    <row r="30" spans="2:28">
      <c r="B30" s="262" t="s">
        <v>113</v>
      </c>
      <c r="C30" s="1334" t="s">
        <v>88</v>
      </c>
      <c r="D30" s="1334" t="s">
        <v>54</v>
      </c>
      <c r="E30" s="1352" t="s">
        <v>80</v>
      </c>
      <c r="F30" s="1352"/>
      <c r="G30" s="184" t="s">
        <v>375</v>
      </c>
      <c r="H30" s="263" t="s">
        <v>35</v>
      </c>
      <c r="I30" s="9">
        <f>ROUND(+I13*I17/100,2)</f>
        <v>0</v>
      </c>
      <c r="J30" s="9">
        <f>ROUND(+J13*J17/100,2)</f>
        <v>0</v>
      </c>
      <c r="K30" s="9">
        <f t="shared" ref="K30:W30" si="19">ROUND(+K13*K17/100,2)</f>
        <v>0</v>
      </c>
      <c r="L30" s="9">
        <f t="shared" si="19"/>
        <v>0</v>
      </c>
      <c r="M30" s="9">
        <f t="shared" si="19"/>
        <v>0</v>
      </c>
      <c r="N30" s="9">
        <f t="shared" si="19"/>
        <v>0</v>
      </c>
      <c r="O30" s="9">
        <f t="shared" si="19"/>
        <v>0</v>
      </c>
      <c r="P30" s="30">
        <f t="shared" si="19"/>
        <v>0</v>
      </c>
      <c r="Q30" s="9">
        <f t="shared" si="19"/>
        <v>0</v>
      </c>
      <c r="R30" s="9">
        <f t="shared" si="19"/>
        <v>0</v>
      </c>
      <c r="S30" s="9">
        <f t="shared" si="19"/>
        <v>0</v>
      </c>
      <c r="T30" s="9">
        <f t="shared" si="19"/>
        <v>0</v>
      </c>
      <c r="U30" s="9">
        <f t="shared" si="19"/>
        <v>0</v>
      </c>
      <c r="V30" s="9">
        <f t="shared" si="19"/>
        <v>0</v>
      </c>
      <c r="W30" s="308">
        <f t="shared" si="19"/>
        <v>0</v>
      </c>
      <c r="X30" s="30">
        <f t="shared" ref="X30:X39" si="20">+SUM(I30:V30)</f>
        <v>0</v>
      </c>
      <c r="Y30" s="20"/>
    </row>
    <row r="31" spans="2:28">
      <c r="B31" s="176" t="s">
        <v>114</v>
      </c>
      <c r="C31" s="1325"/>
      <c r="D31" s="1325"/>
      <c r="E31" s="1336" t="s">
        <v>81</v>
      </c>
      <c r="F31" s="465" t="s">
        <v>64</v>
      </c>
      <c r="G31" s="170" t="s">
        <v>376</v>
      </c>
      <c r="H31" s="458" t="s">
        <v>35</v>
      </c>
      <c r="I31" s="14">
        <f>+I13-I30</f>
        <v>0</v>
      </c>
      <c r="J31" s="14">
        <f>+J13-J30</f>
        <v>0</v>
      </c>
      <c r="K31" s="14">
        <f t="shared" ref="K31:W31" si="21">+K13-K30</f>
        <v>0</v>
      </c>
      <c r="L31" s="14">
        <f t="shared" si="21"/>
        <v>0</v>
      </c>
      <c r="M31" s="14">
        <f t="shared" si="21"/>
        <v>0</v>
      </c>
      <c r="N31" s="14">
        <f t="shared" si="21"/>
        <v>0</v>
      </c>
      <c r="O31" s="14">
        <f t="shared" si="21"/>
        <v>0</v>
      </c>
      <c r="P31" s="15">
        <f t="shared" si="21"/>
        <v>0</v>
      </c>
      <c r="Q31" s="14">
        <f t="shared" si="21"/>
        <v>0</v>
      </c>
      <c r="R31" s="14">
        <f t="shared" si="21"/>
        <v>0</v>
      </c>
      <c r="S31" s="14">
        <f t="shared" si="21"/>
        <v>0</v>
      </c>
      <c r="T31" s="14">
        <f t="shared" si="21"/>
        <v>0</v>
      </c>
      <c r="U31" s="14">
        <f t="shared" si="21"/>
        <v>0</v>
      </c>
      <c r="V31" s="14">
        <f t="shared" si="21"/>
        <v>0</v>
      </c>
      <c r="W31" s="210">
        <f t="shared" si="21"/>
        <v>0</v>
      </c>
      <c r="X31" s="15">
        <f t="shared" si="20"/>
        <v>0</v>
      </c>
      <c r="Y31" s="17"/>
    </row>
    <row r="32" spans="2:28">
      <c r="B32" s="460" t="s">
        <v>115</v>
      </c>
      <c r="C32" s="1325"/>
      <c r="D32" s="1325"/>
      <c r="E32" s="1336"/>
      <c r="F32" s="465" t="s">
        <v>62</v>
      </c>
      <c r="G32" s="170" t="s">
        <v>377</v>
      </c>
      <c r="H32" s="458" t="s">
        <v>162</v>
      </c>
      <c r="I32" s="14">
        <f>+I11-I30</f>
        <v>0</v>
      </c>
      <c r="J32" s="14">
        <f>+J11-J30</f>
        <v>0</v>
      </c>
      <c r="K32" s="14">
        <f t="shared" ref="K32:W32" si="22">+K11-K30</f>
        <v>0</v>
      </c>
      <c r="L32" s="14">
        <f t="shared" si="22"/>
        <v>0</v>
      </c>
      <c r="M32" s="14">
        <f t="shared" si="22"/>
        <v>0</v>
      </c>
      <c r="N32" s="14">
        <f t="shared" si="22"/>
        <v>0</v>
      </c>
      <c r="O32" s="14">
        <f t="shared" si="22"/>
        <v>0</v>
      </c>
      <c r="P32" s="15">
        <f t="shared" si="22"/>
        <v>0</v>
      </c>
      <c r="Q32" s="14">
        <f t="shared" si="22"/>
        <v>0</v>
      </c>
      <c r="R32" s="14">
        <f t="shared" si="22"/>
        <v>0</v>
      </c>
      <c r="S32" s="14">
        <f t="shared" si="22"/>
        <v>0</v>
      </c>
      <c r="T32" s="14">
        <f t="shared" si="22"/>
        <v>0</v>
      </c>
      <c r="U32" s="14">
        <f t="shared" si="22"/>
        <v>0</v>
      </c>
      <c r="V32" s="14">
        <f t="shared" si="22"/>
        <v>0</v>
      </c>
      <c r="W32" s="210">
        <f t="shared" si="22"/>
        <v>0</v>
      </c>
      <c r="X32" s="15">
        <f t="shared" si="20"/>
        <v>0</v>
      </c>
      <c r="Y32" s="17"/>
    </row>
    <row r="33" spans="2:25" s="279" customFormat="1" ht="13.5" customHeight="1">
      <c r="B33" s="273" t="s">
        <v>116</v>
      </c>
      <c r="C33" s="1325"/>
      <c r="D33" s="1325"/>
      <c r="E33" s="1336" t="s">
        <v>72</v>
      </c>
      <c r="F33" s="466" t="s">
        <v>82</v>
      </c>
      <c r="G33" s="280" t="s">
        <v>378</v>
      </c>
      <c r="H33" s="459" t="s">
        <v>424</v>
      </c>
      <c r="I33" s="275">
        <f>ROUND(+I30*I18*1000,2)</f>
        <v>0</v>
      </c>
      <c r="J33" s="275">
        <f>ROUND(+J30*J18*1000,2)</f>
        <v>0</v>
      </c>
      <c r="K33" s="275">
        <f t="shared" ref="K33:W33" si="23">ROUND(+K30*K18*1000,2)</f>
        <v>0</v>
      </c>
      <c r="L33" s="275">
        <f t="shared" si="23"/>
        <v>0</v>
      </c>
      <c r="M33" s="275">
        <f t="shared" si="23"/>
        <v>0</v>
      </c>
      <c r="N33" s="275">
        <f t="shared" si="23"/>
        <v>0</v>
      </c>
      <c r="O33" s="275">
        <f t="shared" si="23"/>
        <v>0</v>
      </c>
      <c r="P33" s="281">
        <f t="shared" si="23"/>
        <v>0</v>
      </c>
      <c r="Q33" s="275">
        <f t="shared" si="23"/>
        <v>0</v>
      </c>
      <c r="R33" s="275">
        <f t="shared" si="23"/>
        <v>0</v>
      </c>
      <c r="S33" s="275">
        <f>ROUND(+S30*S18*1000,2)</f>
        <v>0</v>
      </c>
      <c r="T33" s="275">
        <f t="shared" si="23"/>
        <v>0</v>
      </c>
      <c r="U33" s="275">
        <f t="shared" si="23"/>
        <v>0</v>
      </c>
      <c r="V33" s="275">
        <f t="shared" si="23"/>
        <v>0</v>
      </c>
      <c r="W33" s="306">
        <f t="shared" si="23"/>
        <v>0</v>
      </c>
      <c r="X33" s="281">
        <f>+SUM(I33:V33)</f>
        <v>0</v>
      </c>
      <c r="Y33" s="276"/>
    </row>
    <row r="34" spans="2:25">
      <c r="B34" s="460" t="s">
        <v>117</v>
      </c>
      <c r="C34" s="1325"/>
      <c r="D34" s="1325"/>
      <c r="E34" s="1336"/>
      <c r="F34" s="465" t="s">
        <v>83</v>
      </c>
      <c r="G34" s="170" t="s">
        <v>379</v>
      </c>
      <c r="H34" s="458" t="s">
        <v>90</v>
      </c>
      <c r="I34" s="14">
        <f>ROUND(+I21*I33/1000,2)</f>
        <v>0</v>
      </c>
      <c r="J34" s="14">
        <f>ROUND(+J21*J33/1000,2)</f>
        <v>0</v>
      </c>
      <c r="K34" s="14">
        <f t="shared" ref="K34:W34" si="24">ROUND(+K21*K33/1000,2)</f>
        <v>0</v>
      </c>
      <c r="L34" s="14">
        <f t="shared" si="24"/>
        <v>0</v>
      </c>
      <c r="M34" s="14">
        <f t="shared" si="24"/>
        <v>0</v>
      </c>
      <c r="N34" s="14">
        <f t="shared" si="24"/>
        <v>0</v>
      </c>
      <c r="O34" s="14">
        <f t="shared" si="24"/>
        <v>0</v>
      </c>
      <c r="P34" s="15">
        <f t="shared" si="24"/>
        <v>0</v>
      </c>
      <c r="Q34" s="14">
        <f t="shared" si="24"/>
        <v>0</v>
      </c>
      <c r="R34" s="14">
        <f t="shared" si="24"/>
        <v>0</v>
      </c>
      <c r="S34" s="14">
        <f t="shared" si="24"/>
        <v>0</v>
      </c>
      <c r="T34" s="14">
        <f t="shared" si="24"/>
        <v>0</v>
      </c>
      <c r="U34" s="14">
        <f t="shared" si="24"/>
        <v>0</v>
      </c>
      <c r="V34" s="14">
        <f t="shared" si="24"/>
        <v>0</v>
      </c>
      <c r="W34" s="210">
        <f t="shared" si="24"/>
        <v>0</v>
      </c>
      <c r="X34" s="15">
        <f t="shared" si="20"/>
        <v>0</v>
      </c>
      <c r="Y34" s="17"/>
    </row>
    <row r="35" spans="2:25">
      <c r="B35" s="460" t="s">
        <v>319</v>
      </c>
      <c r="C35" s="1325"/>
      <c r="D35" s="1351"/>
      <c r="E35" s="571" t="s">
        <v>106</v>
      </c>
      <c r="F35" s="571" t="s">
        <v>108</v>
      </c>
      <c r="G35" s="170" t="s">
        <v>380</v>
      </c>
      <c r="H35" s="458" t="s">
        <v>90</v>
      </c>
      <c r="I35" s="14">
        <f>+ROUND(I10*(I22-I23)*4.186,2)</f>
        <v>0</v>
      </c>
      <c r="J35" s="14">
        <f>+ROUND(J10*(J22-J23)*4.186,2)</f>
        <v>0</v>
      </c>
      <c r="K35" s="14">
        <f t="shared" ref="K35:W35" si="25">+ROUND(K10*(K22-K23)*4.186,2)</f>
        <v>0</v>
      </c>
      <c r="L35" s="14">
        <f t="shared" si="25"/>
        <v>0</v>
      </c>
      <c r="M35" s="14">
        <f t="shared" si="25"/>
        <v>0</v>
      </c>
      <c r="N35" s="14">
        <f t="shared" si="25"/>
        <v>0</v>
      </c>
      <c r="O35" s="14">
        <f t="shared" si="25"/>
        <v>0</v>
      </c>
      <c r="P35" s="14">
        <f t="shared" si="25"/>
        <v>0</v>
      </c>
      <c r="Q35" s="14">
        <f t="shared" si="25"/>
        <v>0</v>
      </c>
      <c r="R35" s="14">
        <f t="shared" si="25"/>
        <v>0</v>
      </c>
      <c r="S35" s="14">
        <f t="shared" si="25"/>
        <v>0</v>
      </c>
      <c r="T35" s="14">
        <f t="shared" si="25"/>
        <v>0</v>
      </c>
      <c r="U35" s="14">
        <f t="shared" si="25"/>
        <v>0</v>
      </c>
      <c r="V35" s="14">
        <f t="shared" si="25"/>
        <v>0</v>
      </c>
      <c r="W35" s="210">
        <f t="shared" si="25"/>
        <v>0</v>
      </c>
      <c r="X35" s="15">
        <f t="shared" si="20"/>
        <v>0</v>
      </c>
      <c r="Y35" s="17" t="s">
        <v>119</v>
      </c>
    </row>
    <row r="36" spans="2:25">
      <c r="B36" s="460" t="s">
        <v>320</v>
      </c>
      <c r="C36" s="1325"/>
      <c r="D36" s="1347" t="s">
        <v>354</v>
      </c>
      <c r="E36" s="1499" t="s">
        <v>355</v>
      </c>
      <c r="F36" s="1499"/>
      <c r="G36" s="170" t="s">
        <v>356</v>
      </c>
      <c r="H36" s="458" t="s">
        <v>357</v>
      </c>
      <c r="I36" s="187">
        <f>ROUND(+I34*I24/100/3.6,2)</f>
        <v>0</v>
      </c>
      <c r="J36" s="187">
        <f t="shared" ref="J36:W36" si="26">ROUND(+J34*J24/100/3.6,2)</f>
        <v>0</v>
      </c>
      <c r="K36" s="187">
        <f t="shared" si="26"/>
        <v>0</v>
      </c>
      <c r="L36" s="187">
        <f t="shared" si="26"/>
        <v>0</v>
      </c>
      <c r="M36" s="187">
        <f t="shared" si="26"/>
        <v>0</v>
      </c>
      <c r="N36" s="187">
        <f t="shared" si="26"/>
        <v>0</v>
      </c>
      <c r="O36" s="187">
        <f t="shared" si="26"/>
        <v>0</v>
      </c>
      <c r="P36" s="187">
        <f t="shared" si="26"/>
        <v>0</v>
      </c>
      <c r="Q36" s="187">
        <f t="shared" si="26"/>
        <v>0</v>
      </c>
      <c r="R36" s="187">
        <f t="shared" si="26"/>
        <v>0</v>
      </c>
      <c r="S36" s="187">
        <f>ROUND(+S34*S24/100/3.6,2)</f>
        <v>0</v>
      </c>
      <c r="T36" s="187">
        <f t="shared" si="26"/>
        <v>0</v>
      </c>
      <c r="U36" s="187">
        <f t="shared" si="26"/>
        <v>0</v>
      </c>
      <c r="V36" s="187">
        <f t="shared" si="26"/>
        <v>0</v>
      </c>
      <c r="W36" s="309">
        <f t="shared" si="26"/>
        <v>0</v>
      </c>
      <c r="X36" s="15">
        <f>SUM(I36:W36)</f>
        <v>0</v>
      </c>
      <c r="Y36" s="196" t="s">
        <v>412</v>
      </c>
    </row>
    <row r="37" spans="2:25">
      <c r="B37" s="460" t="s">
        <v>321</v>
      </c>
      <c r="C37" s="1325"/>
      <c r="D37" s="1348"/>
      <c r="E37" s="1499" t="s">
        <v>358</v>
      </c>
      <c r="F37" s="1499"/>
      <c r="G37" s="170" t="s">
        <v>359</v>
      </c>
      <c r="H37" s="458" t="s">
        <v>357</v>
      </c>
      <c r="I37" s="187">
        <f>ROUND(+I36*I25,2)</f>
        <v>0</v>
      </c>
      <c r="J37" s="187">
        <f t="shared" ref="J37:W37" si="27">ROUND(+J36*J25,2)</f>
        <v>0</v>
      </c>
      <c r="K37" s="187">
        <f t="shared" si="27"/>
        <v>0</v>
      </c>
      <c r="L37" s="187">
        <f t="shared" si="27"/>
        <v>0</v>
      </c>
      <c r="M37" s="187">
        <f t="shared" si="27"/>
        <v>0</v>
      </c>
      <c r="N37" s="187">
        <f t="shared" si="27"/>
        <v>0</v>
      </c>
      <c r="O37" s="187">
        <f t="shared" si="27"/>
        <v>0</v>
      </c>
      <c r="P37" s="187">
        <f t="shared" si="27"/>
        <v>0</v>
      </c>
      <c r="Q37" s="187">
        <f t="shared" si="27"/>
        <v>0</v>
      </c>
      <c r="R37" s="187">
        <f t="shared" si="27"/>
        <v>0</v>
      </c>
      <c r="S37" s="187">
        <f t="shared" si="27"/>
        <v>0</v>
      </c>
      <c r="T37" s="187">
        <f t="shared" si="27"/>
        <v>0</v>
      </c>
      <c r="U37" s="187">
        <f t="shared" si="27"/>
        <v>0</v>
      </c>
      <c r="V37" s="187">
        <f t="shared" si="27"/>
        <v>0</v>
      </c>
      <c r="W37" s="309">
        <f t="shared" si="27"/>
        <v>0</v>
      </c>
      <c r="X37" s="15">
        <f>SUM(I37:W37)</f>
        <v>0</v>
      </c>
      <c r="Y37" s="1342"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60" t="s">
        <v>322</v>
      </c>
      <c r="C38" s="1325"/>
      <c r="D38" s="1349"/>
      <c r="E38" s="1496" t="s">
        <v>360</v>
      </c>
      <c r="F38" s="1497"/>
      <c r="G38" s="170" t="s">
        <v>361</v>
      </c>
      <c r="H38" s="458" t="s">
        <v>90</v>
      </c>
      <c r="I38" s="187">
        <f>+ROUND(I34*I26/100,2)</f>
        <v>0</v>
      </c>
      <c r="J38" s="187">
        <f t="shared" ref="J38:W38" si="28">+ROUND(J34*J26/100,2)</f>
        <v>0</v>
      </c>
      <c r="K38" s="187">
        <f t="shared" si="28"/>
        <v>0</v>
      </c>
      <c r="L38" s="187">
        <f t="shared" si="28"/>
        <v>0</v>
      </c>
      <c r="M38" s="187">
        <f t="shared" si="28"/>
        <v>0</v>
      </c>
      <c r="N38" s="187">
        <f t="shared" si="28"/>
        <v>0</v>
      </c>
      <c r="O38" s="187">
        <f t="shared" si="28"/>
        <v>0</v>
      </c>
      <c r="P38" s="187">
        <f t="shared" si="28"/>
        <v>0</v>
      </c>
      <c r="Q38" s="187">
        <f t="shared" si="28"/>
        <v>0</v>
      </c>
      <c r="R38" s="187">
        <f t="shared" si="28"/>
        <v>0</v>
      </c>
      <c r="S38" s="187">
        <f t="shared" si="28"/>
        <v>0</v>
      </c>
      <c r="T38" s="187">
        <f t="shared" si="28"/>
        <v>0</v>
      </c>
      <c r="U38" s="187">
        <f t="shared" si="28"/>
        <v>0</v>
      </c>
      <c r="V38" s="187">
        <f t="shared" si="28"/>
        <v>0</v>
      </c>
      <c r="W38" s="309">
        <f t="shared" si="28"/>
        <v>0</v>
      </c>
      <c r="X38" s="15">
        <f>SUM(I38:W39)</f>
        <v>0</v>
      </c>
      <c r="Y38" s="1343"/>
    </row>
    <row r="39" spans="2:25">
      <c r="B39" s="460" t="s">
        <v>323</v>
      </c>
      <c r="C39" s="1325"/>
      <c r="D39" s="1308" t="s">
        <v>30</v>
      </c>
      <c r="E39" s="1346" t="s">
        <v>29</v>
      </c>
      <c r="F39" s="1346"/>
      <c r="G39" s="170" t="str">
        <f>"=c"</f>
        <v>=c</v>
      </c>
      <c r="H39" s="458" t="s">
        <v>0</v>
      </c>
      <c r="I39" s="14">
        <f>+I10</f>
        <v>0</v>
      </c>
      <c r="J39" s="14">
        <f>+J10</f>
        <v>0</v>
      </c>
      <c r="K39" s="14">
        <f t="shared" ref="K39:U39" si="29">+K10</f>
        <v>0</v>
      </c>
      <c r="L39" s="14">
        <f t="shared" si="29"/>
        <v>0</v>
      </c>
      <c r="M39" s="14">
        <f t="shared" si="29"/>
        <v>0</v>
      </c>
      <c r="N39" s="14">
        <f t="shared" si="29"/>
        <v>0</v>
      </c>
      <c r="O39" s="14">
        <f t="shared" si="29"/>
        <v>0</v>
      </c>
      <c r="P39" s="14">
        <f t="shared" si="29"/>
        <v>0</v>
      </c>
      <c r="Q39" s="14">
        <f t="shared" si="29"/>
        <v>0</v>
      </c>
      <c r="R39" s="14">
        <f t="shared" si="29"/>
        <v>0</v>
      </c>
      <c r="S39" s="14">
        <f t="shared" si="29"/>
        <v>0</v>
      </c>
      <c r="T39" s="14">
        <f>+T10</f>
        <v>0</v>
      </c>
      <c r="U39" s="14">
        <f t="shared" si="29"/>
        <v>0</v>
      </c>
      <c r="V39" s="14">
        <f>+V10</f>
        <v>0</v>
      </c>
      <c r="W39" s="210">
        <f>+W10</f>
        <v>0</v>
      </c>
      <c r="X39" s="15">
        <f t="shared" si="20"/>
        <v>0</v>
      </c>
      <c r="Y39" s="259"/>
    </row>
    <row r="40" spans="2:25">
      <c r="B40" s="460" t="s">
        <v>324</v>
      </c>
      <c r="C40" s="1325"/>
      <c r="D40" s="1308"/>
      <c r="E40" s="1346" t="s">
        <v>84</v>
      </c>
      <c r="F40" s="1346"/>
      <c r="G40" s="170" t="s">
        <v>381</v>
      </c>
      <c r="H40" s="458" t="s">
        <v>53</v>
      </c>
      <c r="I40" s="14">
        <f>IF(I39=0,0,ROUND(+I32/I39*100,2))</f>
        <v>0</v>
      </c>
      <c r="J40" s="14">
        <f>IF(J39=0,0,ROUND(+J32/J39*100,2))</f>
        <v>0</v>
      </c>
      <c r="K40" s="14">
        <f t="shared" ref="K40:W40" si="30">IF(K39=0,0,ROUND(+K32/K39*100,2))</f>
        <v>0</v>
      </c>
      <c r="L40" s="14">
        <f t="shared" si="30"/>
        <v>0</v>
      </c>
      <c r="M40" s="14">
        <f t="shared" si="30"/>
        <v>0</v>
      </c>
      <c r="N40" s="14">
        <f t="shared" si="30"/>
        <v>0</v>
      </c>
      <c r="O40" s="14">
        <f t="shared" si="30"/>
        <v>0</v>
      </c>
      <c r="P40" s="14">
        <f t="shared" si="30"/>
        <v>0</v>
      </c>
      <c r="Q40" s="14">
        <f>IF(Q39=0,0,ROUND(+Q32/Q39*100,2))</f>
        <v>0</v>
      </c>
      <c r="R40" s="14">
        <f t="shared" si="30"/>
        <v>0</v>
      </c>
      <c r="S40" s="14">
        <f t="shared" si="30"/>
        <v>0</v>
      </c>
      <c r="T40" s="14">
        <f t="shared" si="30"/>
        <v>0</v>
      </c>
      <c r="U40" s="14">
        <f>IF(U39=0,0,ROUND(+U32/U39*100,2))</f>
        <v>0</v>
      </c>
      <c r="V40" s="14">
        <f t="shared" si="30"/>
        <v>0</v>
      </c>
      <c r="W40" s="210">
        <f t="shared" si="30"/>
        <v>0</v>
      </c>
      <c r="X40" s="15">
        <f>IF(X39=0,0,ROUND(+X32/X39*100,2))</f>
        <v>0</v>
      </c>
      <c r="Y40" s="259"/>
    </row>
    <row r="41" spans="2:25" s="279" customFormat="1">
      <c r="B41" s="273" t="s">
        <v>325</v>
      </c>
      <c r="C41" s="1325"/>
      <c r="D41" s="1308"/>
      <c r="E41" s="1346" t="s">
        <v>85</v>
      </c>
      <c r="F41" s="1346"/>
      <c r="G41" s="280" t="s">
        <v>382</v>
      </c>
      <c r="H41" s="459" t="s">
        <v>0</v>
      </c>
      <c r="I41" s="275">
        <f>ROUND(+I32/(1-I27/100),2)</f>
        <v>0</v>
      </c>
      <c r="J41" s="275">
        <f>ROUND(+J32/(1-J27/100),2)</f>
        <v>0</v>
      </c>
      <c r="K41" s="275">
        <f t="shared" ref="K41:W41" si="31">ROUND(+K32/(1-K27/100),2)</f>
        <v>0</v>
      </c>
      <c r="L41" s="275">
        <f t="shared" si="31"/>
        <v>0</v>
      </c>
      <c r="M41" s="275">
        <f t="shared" si="31"/>
        <v>0</v>
      </c>
      <c r="N41" s="275">
        <f t="shared" si="31"/>
        <v>0</v>
      </c>
      <c r="O41" s="275">
        <f t="shared" si="31"/>
        <v>0</v>
      </c>
      <c r="P41" s="281">
        <f t="shared" si="31"/>
        <v>0</v>
      </c>
      <c r="Q41" s="275">
        <f t="shared" si="31"/>
        <v>0</v>
      </c>
      <c r="R41" s="275">
        <f t="shared" si="31"/>
        <v>0</v>
      </c>
      <c r="S41" s="275">
        <f t="shared" si="31"/>
        <v>0</v>
      </c>
      <c r="T41" s="275">
        <f t="shared" si="31"/>
        <v>0</v>
      </c>
      <c r="U41" s="275">
        <f>ROUND(+U32/(1-U27/100),2)</f>
        <v>0</v>
      </c>
      <c r="V41" s="275">
        <f t="shared" si="31"/>
        <v>0</v>
      </c>
      <c r="W41" s="306">
        <f t="shared" si="31"/>
        <v>0</v>
      </c>
      <c r="X41" s="281">
        <f t="shared" ref="X41:X47" si="32">+SUM(I41:V41)</f>
        <v>0</v>
      </c>
      <c r="Y41" s="282"/>
    </row>
    <row r="42" spans="2:25">
      <c r="B42" s="460" t="s">
        <v>326</v>
      </c>
      <c r="C42" s="1325"/>
      <c r="D42" s="1308"/>
      <c r="E42" s="1346" t="s">
        <v>86</v>
      </c>
      <c r="F42" s="1346"/>
      <c r="G42" s="170" t="str">
        <f>"=③"</f>
        <v>=③</v>
      </c>
      <c r="H42" s="458" t="s">
        <v>38</v>
      </c>
      <c r="I42" s="14">
        <f>+I32</f>
        <v>0</v>
      </c>
      <c r="J42" s="14">
        <f>+J32</f>
        <v>0</v>
      </c>
      <c r="K42" s="14">
        <f t="shared" ref="K42:W42" si="33">+K32</f>
        <v>0</v>
      </c>
      <c r="L42" s="14">
        <f t="shared" si="33"/>
        <v>0</v>
      </c>
      <c r="M42" s="14">
        <f t="shared" si="33"/>
        <v>0</v>
      </c>
      <c r="N42" s="14">
        <f t="shared" si="33"/>
        <v>0</v>
      </c>
      <c r="O42" s="14">
        <f t="shared" si="33"/>
        <v>0</v>
      </c>
      <c r="P42" s="15">
        <f t="shared" si="33"/>
        <v>0</v>
      </c>
      <c r="Q42" s="14">
        <f t="shared" si="33"/>
        <v>0</v>
      </c>
      <c r="R42" s="14">
        <f t="shared" si="33"/>
        <v>0</v>
      </c>
      <c r="S42" s="14">
        <f t="shared" si="33"/>
        <v>0</v>
      </c>
      <c r="T42" s="14">
        <f t="shared" si="33"/>
        <v>0</v>
      </c>
      <c r="U42" s="14">
        <f t="shared" si="33"/>
        <v>0</v>
      </c>
      <c r="V42" s="14">
        <f t="shared" si="33"/>
        <v>0</v>
      </c>
      <c r="W42" s="210">
        <f t="shared" si="33"/>
        <v>0</v>
      </c>
      <c r="X42" s="15">
        <f t="shared" si="32"/>
        <v>0</v>
      </c>
      <c r="Y42" s="259"/>
    </row>
    <row r="43" spans="2:25" ht="15.75">
      <c r="B43" s="460" t="s">
        <v>327</v>
      </c>
      <c r="C43" s="1325"/>
      <c r="D43" s="1308"/>
      <c r="E43" s="1346" t="s">
        <v>87</v>
      </c>
      <c r="F43" s="1346"/>
      <c r="G43" s="185" t="s">
        <v>383</v>
      </c>
      <c r="H43" s="303" t="s">
        <v>243</v>
      </c>
      <c r="I43" s="51">
        <f>+I10-I41</f>
        <v>0</v>
      </c>
      <c r="J43" s="51">
        <f>+J10-J41</f>
        <v>0</v>
      </c>
      <c r="K43" s="51">
        <f t="shared" ref="K43:W43" si="34">+K10-K41</f>
        <v>0</v>
      </c>
      <c r="L43" s="51">
        <f t="shared" si="34"/>
        <v>0</v>
      </c>
      <c r="M43" s="51">
        <f t="shared" si="34"/>
        <v>0</v>
      </c>
      <c r="N43" s="51">
        <f t="shared" si="34"/>
        <v>0</v>
      </c>
      <c r="O43" s="51">
        <f t="shared" si="34"/>
        <v>0</v>
      </c>
      <c r="P43" s="15">
        <f t="shared" si="34"/>
        <v>0</v>
      </c>
      <c r="Q43" s="31">
        <f t="shared" si="34"/>
        <v>0</v>
      </c>
      <c r="R43" s="31">
        <f t="shared" si="34"/>
        <v>0</v>
      </c>
      <c r="S43" s="31">
        <f t="shared" si="34"/>
        <v>0</v>
      </c>
      <c r="T43" s="14">
        <f t="shared" si="34"/>
        <v>0</v>
      </c>
      <c r="U43" s="14">
        <f t="shared" si="34"/>
        <v>0</v>
      </c>
      <c r="V43" s="14">
        <f t="shared" si="34"/>
        <v>0</v>
      </c>
      <c r="W43" s="210">
        <f t="shared" si="34"/>
        <v>0</v>
      </c>
      <c r="X43" s="15">
        <f t="shared" si="32"/>
        <v>0</v>
      </c>
      <c r="Y43" s="259"/>
    </row>
    <row r="44" spans="2:25">
      <c r="B44" s="176" t="s">
        <v>337</v>
      </c>
      <c r="C44" s="1325"/>
      <c r="D44" s="1308" t="s">
        <v>101</v>
      </c>
      <c r="E44" s="1498" t="s">
        <v>109</v>
      </c>
      <c r="F44" s="1498"/>
      <c r="G44" s="170" t="s">
        <v>384</v>
      </c>
      <c r="H44" s="458" t="s">
        <v>0</v>
      </c>
      <c r="I44" s="11">
        <f>+ROUND(I42/(1-I28/100),2)</f>
        <v>0</v>
      </c>
      <c r="J44" s="11">
        <f>+ROUND(J42/(1-J28/100),2)</f>
        <v>0</v>
      </c>
      <c r="K44" s="11">
        <f t="shared" ref="K44:W44" si="35">+ROUND(K42/(1-K28/100),2)</f>
        <v>0</v>
      </c>
      <c r="L44" s="11">
        <f>+ROUND(L42/(1-L28/100),2)</f>
        <v>0</v>
      </c>
      <c r="M44" s="11">
        <f t="shared" si="35"/>
        <v>0</v>
      </c>
      <c r="N44" s="11">
        <f t="shared" si="35"/>
        <v>0</v>
      </c>
      <c r="O44" s="11">
        <f t="shared" si="35"/>
        <v>0</v>
      </c>
      <c r="P44" s="10">
        <f t="shared" si="35"/>
        <v>0</v>
      </c>
      <c r="Q44" s="11">
        <f t="shared" si="35"/>
        <v>0</v>
      </c>
      <c r="R44" s="11">
        <f t="shared" si="35"/>
        <v>0</v>
      </c>
      <c r="S44" s="11">
        <f t="shared" si="35"/>
        <v>0</v>
      </c>
      <c r="T44" s="11">
        <f t="shared" si="35"/>
        <v>0</v>
      </c>
      <c r="U44" s="11">
        <f t="shared" si="35"/>
        <v>0</v>
      </c>
      <c r="V44" s="11">
        <f t="shared" si="35"/>
        <v>0</v>
      </c>
      <c r="W44" s="211">
        <f t="shared" si="35"/>
        <v>0</v>
      </c>
      <c r="X44" s="10">
        <f t="shared" si="32"/>
        <v>0</v>
      </c>
      <c r="Y44" s="260"/>
    </row>
    <row r="45" spans="2:25">
      <c r="B45" s="460" t="s">
        <v>362</v>
      </c>
      <c r="C45" s="1325"/>
      <c r="D45" s="1308"/>
      <c r="E45" s="1346" t="s">
        <v>110</v>
      </c>
      <c r="F45" s="1346"/>
      <c r="G45" s="170" t="str">
        <f>"=⑬"</f>
        <v>=⑬</v>
      </c>
      <c r="H45" s="458" t="s">
        <v>38</v>
      </c>
      <c r="I45" s="14">
        <f>+I42</f>
        <v>0</v>
      </c>
      <c r="J45" s="14">
        <f>+J42</f>
        <v>0</v>
      </c>
      <c r="K45" s="14">
        <f t="shared" ref="K45:W45" si="36">+K42</f>
        <v>0</v>
      </c>
      <c r="L45" s="14">
        <f t="shared" si="36"/>
        <v>0</v>
      </c>
      <c r="M45" s="14">
        <f t="shared" si="36"/>
        <v>0</v>
      </c>
      <c r="N45" s="14">
        <f t="shared" si="36"/>
        <v>0</v>
      </c>
      <c r="O45" s="14">
        <f t="shared" si="36"/>
        <v>0</v>
      </c>
      <c r="P45" s="15">
        <f t="shared" si="36"/>
        <v>0</v>
      </c>
      <c r="Q45" s="14">
        <f t="shared" si="36"/>
        <v>0</v>
      </c>
      <c r="R45" s="14">
        <f t="shared" si="36"/>
        <v>0</v>
      </c>
      <c r="S45" s="16">
        <f t="shared" si="36"/>
        <v>0</v>
      </c>
      <c r="T45" s="16">
        <f t="shared" si="36"/>
        <v>0</v>
      </c>
      <c r="U45" s="16">
        <f t="shared" si="36"/>
        <v>0</v>
      </c>
      <c r="V45" s="16">
        <f t="shared" si="36"/>
        <v>0</v>
      </c>
      <c r="W45" s="210">
        <f t="shared" si="36"/>
        <v>0</v>
      </c>
      <c r="X45" s="15">
        <f t="shared" si="32"/>
        <v>0</v>
      </c>
      <c r="Y45" s="259"/>
    </row>
    <row r="46" spans="2:25">
      <c r="B46" s="460" t="s">
        <v>363</v>
      </c>
      <c r="C46" s="1325"/>
      <c r="D46" s="1308"/>
      <c r="E46" s="1336" t="s">
        <v>111</v>
      </c>
      <c r="F46" s="1336"/>
      <c r="G46" s="170" t="s">
        <v>385</v>
      </c>
      <c r="H46" s="458" t="s">
        <v>0</v>
      </c>
      <c r="I46" s="14">
        <f>+I41-I44</f>
        <v>0</v>
      </c>
      <c r="J46" s="14">
        <f>+J41-J44</f>
        <v>0</v>
      </c>
      <c r="K46" s="14">
        <f t="shared" ref="K46:O46" si="37">+K41-K44</f>
        <v>0</v>
      </c>
      <c r="L46" s="14">
        <f t="shared" si="37"/>
        <v>0</v>
      </c>
      <c r="M46" s="14">
        <f t="shared" si="37"/>
        <v>0</v>
      </c>
      <c r="N46" s="14">
        <f t="shared" si="37"/>
        <v>0</v>
      </c>
      <c r="O46" s="14">
        <f t="shared" si="37"/>
        <v>0</v>
      </c>
      <c r="P46" s="15">
        <f>+P41-P44</f>
        <v>0</v>
      </c>
      <c r="Q46" s="14">
        <f t="shared" ref="Q46:R46" si="38">+Q41-Q44</f>
        <v>0</v>
      </c>
      <c r="R46" s="14">
        <f t="shared" si="38"/>
        <v>0</v>
      </c>
      <c r="S46" s="16">
        <f>+S41-S44</f>
        <v>0</v>
      </c>
      <c r="T46" s="16">
        <f t="shared" ref="T46:W46" si="39">+T41-T44</f>
        <v>0</v>
      </c>
      <c r="U46" s="16">
        <f t="shared" si="39"/>
        <v>0</v>
      </c>
      <c r="V46" s="16">
        <f t="shared" si="39"/>
        <v>0</v>
      </c>
      <c r="W46" s="210">
        <f t="shared" si="39"/>
        <v>0</v>
      </c>
      <c r="X46" s="15">
        <f t="shared" si="32"/>
        <v>0</v>
      </c>
      <c r="Y46" s="259"/>
    </row>
    <row r="47" spans="2:25" ht="40.5">
      <c r="B47" s="460" t="s">
        <v>364</v>
      </c>
      <c r="C47" s="1325"/>
      <c r="D47" s="1308"/>
      <c r="E47" s="1336" t="s">
        <v>108</v>
      </c>
      <c r="F47" s="1336"/>
      <c r="G47" s="186" t="s">
        <v>386</v>
      </c>
      <c r="H47" s="458" t="s">
        <v>90</v>
      </c>
      <c r="I47" s="14">
        <f>+ROUND((100-I29)*(I41-I45)*4.186+I46*2258+(100-I29)*I45*0.3*4.184,2)</f>
        <v>0</v>
      </c>
      <c r="J47" s="14">
        <f>+ROUND((100-J29)*(J41-J45)*4.186+J46*2258+(100-J29)*J45*0.3*4.184,2)</f>
        <v>0</v>
      </c>
      <c r="K47" s="14">
        <f t="shared" ref="K47:O47" si="40">+ROUND((100-K29)*(K41-K45)*4.186+K46*2258+(100-K29)*K45*0.3*4.184,2)</f>
        <v>0</v>
      </c>
      <c r="L47" s="14">
        <f t="shared" si="40"/>
        <v>0</v>
      </c>
      <c r="M47" s="14">
        <f t="shared" si="40"/>
        <v>0</v>
      </c>
      <c r="N47" s="14">
        <f t="shared" si="40"/>
        <v>0</v>
      </c>
      <c r="O47" s="14">
        <f t="shared" si="40"/>
        <v>0</v>
      </c>
      <c r="P47" s="15">
        <f>+ROUND((100-P29)*(P41-P45)*4.186+P46*2258+(100-P29)*P45*0.3*4.184,2)</f>
        <v>0</v>
      </c>
      <c r="Q47" s="14">
        <f t="shared" ref="Q47:W47" si="41">+ROUND((100-Q29)*(Q41-Q45)*4.186+Q46*2258+(100-Q29)*Q45*0.3*4.184,2)</f>
        <v>0</v>
      </c>
      <c r="R47" s="14">
        <f t="shared" si="41"/>
        <v>0</v>
      </c>
      <c r="S47" s="16">
        <f t="shared" si="41"/>
        <v>0</v>
      </c>
      <c r="T47" s="16">
        <f t="shared" si="41"/>
        <v>0</v>
      </c>
      <c r="U47" s="16">
        <f t="shared" si="41"/>
        <v>0</v>
      </c>
      <c r="V47" s="16">
        <f t="shared" si="41"/>
        <v>0</v>
      </c>
      <c r="W47" s="210">
        <f t="shared" si="41"/>
        <v>0</v>
      </c>
      <c r="X47" s="15">
        <f t="shared" si="32"/>
        <v>0</v>
      </c>
      <c r="Y47" s="261" t="s">
        <v>112</v>
      </c>
    </row>
    <row r="48" spans="2:25">
      <c r="B48" s="188" t="s">
        <v>365</v>
      </c>
      <c r="C48" s="1325"/>
      <c r="D48" s="1347" t="s">
        <v>127</v>
      </c>
      <c r="E48" s="1337" t="s">
        <v>128</v>
      </c>
      <c r="F48" s="177" t="s">
        <v>369</v>
      </c>
      <c r="G48" s="178" t="s">
        <v>387</v>
      </c>
      <c r="H48" s="1347"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188" t="s">
        <v>366</v>
      </c>
      <c r="C49" s="1325"/>
      <c r="D49" s="1348"/>
      <c r="E49" s="1338"/>
      <c r="F49" s="179" t="s">
        <v>370</v>
      </c>
      <c r="G49" s="178" t="s">
        <v>388</v>
      </c>
      <c r="H49" s="1348"/>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0</v>
      </c>
      <c r="Y49" s="189"/>
    </row>
    <row r="50" spans="2:25">
      <c r="B50" s="188" t="s">
        <v>367</v>
      </c>
      <c r="C50" s="1325"/>
      <c r="D50" s="1348"/>
      <c r="E50" s="1338"/>
      <c r="F50" s="179" t="s">
        <v>371</v>
      </c>
      <c r="G50" s="178" t="s">
        <v>389</v>
      </c>
      <c r="H50" s="1348"/>
      <c r="I50" s="208">
        <f t="shared" ref="I50:W50" si="44">IFERROR(IF(I38&gt;=I35,IF((I35-I34-I38)/J48&lt;0,0,+ROUND((I35-I34-I38)/J48,0)),"-"),0)</f>
        <v>0</v>
      </c>
      <c r="J50" s="208">
        <f t="shared" si="44"/>
        <v>0</v>
      </c>
      <c r="K50" s="208">
        <f t="shared" si="44"/>
        <v>0</v>
      </c>
      <c r="L50" s="208">
        <f t="shared" si="44"/>
        <v>0</v>
      </c>
      <c r="M50" s="208">
        <f t="shared" si="44"/>
        <v>0</v>
      </c>
      <c r="N50" s="208">
        <f t="shared" si="44"/>
        <v>0</v>
      </c>
      <c r="O50" s="208">
        <f t="shared" si="44"/>
        <v>0</v>
      </c>
      <c r="P50" s="208">
        <f t="shared" si="44"/>
        <v>0</v>
      </c>
      <c r="Q50" s="208">
        <f t="shared" si="44"/>
        <v>0</v>
      </c>
      <c r="R50" s="208">
        <f t="shared" si="44"/>
        <v>0</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305" t="s">
        <v>368</v>
      </c>
      <c r="C51" s="1335"/>
      <c r="D51" s="1357"/>
      <c r="E51" s="1358"/>
      <c r="F51" s="180" t="s">
        <v>372</v>
      </c>
      <c r="G51" s="181" t="s">
        <v>373</v>
      </c>
      <c r="H51" s="1357"/>
      <c r="I51" s="209">
        <f t="shared" ref="I51:W51" si="45">IFERROR(IF(I38&gt;=I35,ROUND((I35+I47-I38)/J48,0),"-"),0)</f>
        <v>0</v>
      </c>
      <c r="J51" s="209">
        <f t="shared" si="45"/>
        <v>0</v>
      </c>
      <c r="K51" s="209">
        <f t="shared" si="45"/>
        <v>0</v>
      </c>
      <c r="L51" s="209">
        <f t="shared" si="45"/>
        <v>0</v>
      </c>
      <c r="M51" s="209">
        <f t="shared" si="45"/>
        <v>0</v>
      </c>
      <c r="N51" s="209">
        <f t="shared" si="45"/>
        <v>0</v>
      </c>
      <c r="O51" s="209">
        <f t="shared" si="45"/>
        <v>0</v>
      </c>
      <c r="P51" s="209">
        <f t="shared" si="45"/>
        <v>0</v>
      </c>
      <c r="Q51" s="209">
        <f t="shared" si="45"/>
        <v>0</v>
      </c>
      <c r="R51" s="209">
        <f t="shared" si="45"/>
        <v>0</v>
      </c>
      <c r="S51" s="209">
        <f t="shared" si="45"/>
        <v>0</v>
      </c>
      <c r="T51" s="209">
        <f t="shared" si="45"/>
        <v>0</v>
      </c>
      <c r="U51" s="209">
        <f t="shared" si="45"/>
        <v>0</v>
      </c>
      <c r="V51" s="209">
        <f t="shared" si="45"/>
        <v>0</v>
      </c>
      <c r="W51" s="312">
        <f t="shared" si="45"/>
        <v>0</v>
      </c>
      <c r="X51" s="209">
        <f>IFERROR(IF(X38&gt;=X35,ROUND((X35+X47-X38)/Y48,0),"-"),0)</f>
        <v>0</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59" t="s">
        <v>698</v>
      </c>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row>
    <row r="54" spans="2:25" ht="14.25" thickBot="1">
      <c r="B54" s="1360" t="s">
        <v>331</v>
      </c>
      <c r="C54" s="1361"/>
      <c r="D54" s="1361"/>
      <c r="E54" s="1361"/>
      <c r="F54" s="1361"/>
      <c r="G54" s="1361"/>
      <c r="H54" s="1361"/>
      <c r="I54" s="1361"/>
      <c r="J54" s="1361"/>
      <c r="K54" s="1361"/>
      <c r="L54" s="1361"/>
      <c r="M54" s="1361"/>
      <c r="N54" s="1361"/>
      <c r="O54" s="1361"/>
      <c r="P54" s="1361"/>
      <c r="Q54" s="1361"/>
      <c r="R54" s="1361"/>
      <c r="S54" s="1361"/>
      <c r="T54" s="1361"/>
      <c r="U54" s="1361"/>
      <c r="V54" s="1361"/>
      <c r="W54" s="1361"/>
      <c r="X54" s="1361"/>
      <c r="Y54" s="1362"/>
    </row>
    <row r="55" spans="2:25">
      <c r="B55" s="1305" t="str">
        <f>B4</f>
        <v>記号</v>
      </c>
      <c r="C55" s="1363" t="str">
        <f>C4</f>
        <v>項目</v>
      </c>
      <c r="D55" s="1363"/>
      <c r="E55" s="1363"/>
      <c r="F55" s="1363"/>
      <c r="G55" s="1364" t="str">
        <f t="shared" ref="G55:Y55" si="46">G4</f>
        <v>根拠</v>
      </c>
      <c r="H55" s="1363" t="str">
        <f t="shared" si="46"/>
        <v>単位</v>
      </c>
      <c r="I55" s="1311">
        <f t="shared" si="46"/>
        <v>0</v>
      </c>
      <c r="J55" s="1311">
        <f t="shared" si="46"/>
        <v>0</v>
      </c>
      <c r="K55" s="1311">
        <f t="shared" si="46"/>
        <v>0</v>
      </c>
      <c r="L55" s="1311">
        <f t="shared" si="46"/>
        <v>0</v>
      </c>
      <c r="M55" s="1311">
        <f t="shared" si="46"/>
        <v>0</v>
      </c>
      <c r="N55" s="1311">
        <f t="shared" si="46"/>
        <v>0</v>
      </c>
      <c r="O55" s="1311">
        <f t="shared" si="46"/>
        <v>0</v>
      </c>
      <c r="P55" s="1311">
        <f t="shared" si="46"/>
        <v>0</v>
      </c>
      <c r="Q55" s="1311">
        <f t="shared" si="46"/>
        <v>0</v>
      </c>
      <c r="R55" s="1311">
        <f t="shared" si="46"/>
        <v>0</v>
      </c>
      <c r="S55" s="1311">
        <f t="shared" si="46"/>
        <v>0</v>
      </c>
      <c r="T55" s="1311">
        <f t="shared" si="46"/>
        <v>0</v>
      </c>
      <c r="U55" s="1311">
        <f t="shared" si="46"/>
        <v>0</v>
      </c>
      <c r="V55" s="1311">
        <f t="shared" si="46"/>
        <v>0</v>
      </c>
      <c r="W55" s="1366">
        <f t="shared" si="46"/>
        <v>0</v>
      </c>
      <c r="X55" s="1368" t="str">
        <f t="shared" si="46"/>
        <v>総合</v>
      </c>
      <c r="Y55" s="1371" t="str">
        <f t="shared" si="46"/>
        <v>備考</v>
      </c>
    </row>
    <row r="56" spans="2:25">
      <c r="B56" s="1306"/>
      <c r="C56" s="1283"/>
      <c r="D56" s="1283"/>
      <c r="E56" s="1283"/>
      <c r="F56" s="1283"/>
      <c r="G56" s="1365"/>
      <c r="H56" s="1283"/>
      <c r="I56" s="1285"/>
      <c r="J56" s="1285"/>
      <c r="K56" s="1285"/>
      <c r="L56" s="1285"/>
      <c r="M56" s="1285"/>
      <c r="N56" s="1285"/>
      <c r="O56" s="1285"/>
      <c r="P56" s="1285"/>
      <c r="Q56" s="1285"/>
      <c r="R56" s="1285"/>
      <c r="S56" s="1285"/>
      <c r="T56" s="1285"/>
      <c r="U56" s="1285"/>
      <c r="V56" s="1285"/>
      <c r="W56" s="1367"/>
      <c r="X56" s="1369"/>
      <c r="Y56" s="1372"/>
    </row>
    <row r="57" spans="2:25" ht="13.5" customHeight="1">
      <c r="B57" s="1306"/>
      <c r="C57" s="1283"/>
      <c r="D57" s="1283"/>
      <c r="E57" s="1283"/>
      <c r="F57" s="1283"/>
      <c r="G57" s="1365"/>
      <c r="H57" s="1283"/>
      <c r="I57" s="1312" t="str">
        <f t="shared" ref="I57:W57" si="47">I6</f>
        <v>脱水汚泥</v>
      </c>
      <c r="J57" s="1312">
        <f t="shared" si="47"/>
        <v>0</v>
      </c>
      <c r="K57" s="1312">
        <f t="shared" si="47"/>
        <v>0</v>
      </c>
      <c r="L57" s="1312">
        <f t="shared" si="47"/>
        <v>0</v>
      </c>
      <c r="M57" s="1312">
        <f t="shared" si="47"/>
        <v>0</v>
      </c>
      <c r="N57" s="1312">
        <f t="shared" si="47"/>
        <v>0</v>
      </c>
      <c r="O57" s="1312">
        <f t="shared" si="47"/>
        <v>0</v>
      </c>
      <c r="P57" s="1312" t="str">
        <f t="shared" si="47"/>
        <v>し尿</v>
      </c>
      <c r="Q57" s="1312" t="str">
        <f t="shared" si="47"/>
        <v>浄化槽汚泥</v>
      </c>
      <c r="R57" s="1375" t="str">
        <f t="shared" si="47"/>
        <v>集落排水汚泥</v>
      </c>
      <c r="S57" s="1312" t="str">
        <f t="shared" si="47"/>
        <v>生ごみ</v>
      </c>
      <c r="T57" s="1312">
        <f t="shared" si="47"/>
        <v>0</v>
      </c>
      <c r="U57" s="1312">
        <f t="shared" si="47"/>
        <v>0</v>
      </c>
      <c r="V57" s="1312">
        <f t="shared" si="47"/>
        <v>0</v>
      </c>
      <c r="W57" s="1374">
        <f t="shared" si="47"/>
        <v>0</v>
      </c>
      <c r="X57" s="1369"/>
      <c r="Y57" s="1372"/>
    </row>
    <row r="58" spans="2:25">
      <c r="B58" s="1306"/>
      <c r="C58" s="1283"/>
      <c r="D58" s="1283"/>
      <c r="E58" s="1283"/>
      <c r="F58" s="1283"/>
      <c r="G58" s="1365"/>
      <c r="H58" s="1283"/>
      <c r="I58" s="1312"/>
      <c r="J58" s="1312"/>
      <c r="K58" s="1312"/>
      <c r="L58" s="1312"/>
      <c r="M58" s="1312"/>
      <c r="N58" s="1312"/>
      <c r="O58" s="1312"/>
      <c r="P58" s="1312"/>
      <c r="Q58" s="1312"/>
      <c r="R58" s="1375"/>
      <c r="S58" s="1312"/>
      <c r="T58" s="1312"/>
      <c r="U58" s="1312"/>
      <c r="V58" s="1312"/>
      <c r="W58" s="1374"/>
      <c r="X58" s="1370"/>
      <c r="Y58" s="1373"/>
    </row>
    <row r="59" spans="2:25">
      <c r="B59" s="176" t="s">
        <v>390</v>
      </c>
      <c r="C59" s="1325" t="s">
        <v>70</v>
      </c>
      <c r="D59" s="1326" t="s">
        <v>56</v>
      </c>
      <c r="E59" s="1329" t="s">
        <v>57</v>
      </c>
      <c r="F59" s="375" t="s">
        <v>58</v>
      </c>
      <c r="G59" s="8" t="s">
        <v>50</v>
      </c>
      <c r="H59" s="374" t="s">
        <v>0</v>
      </c>
      <c r="I59" s="11">
        <f>ROUND(⑤基本情報入力!Q14*⑤基本情報入力!L15,2)</f>
        <v>0</v>
      </c>
      <c r="J59" s="11">
        <f>ROUND(⑤基本情報入力!V14*⑤基本情報入力!V15,2)</f>
        <v>0</v>
      </c>
      <c r="K59" s="11">
        <f>ROUND(⑤基本情報入力!AA14*⑤基本情報入力!AA15,2)</f>
        <v>0</v>
      </c>
      <c r="L59" s="11">
        <f>ROUND(⑤基本情報入力!AF14*⑤基本情報入力!AF15,2)</f>
        <v>0</v>
      </c>
      <c r="M59" s="11">
        <f>ROUND(⑤基本情報入力!AK14*⑤基本情報入力!AK15,2)</f>
        <v>0</v>
      </c>
      <c r="N59" s="11">
        <f>ROUND(⑤基本情報入力!AP14*⑤基本情報入力!AP15,2)</f>
        <v>0</v>
      </c>
      <c r="O59" s="11">
        <f>ROUND(⑤基本情報入力!AU14*⑤基本情報入力!AU15,2)</f>
        <v>0</v>
      </c>
      <c r="P59" s="11">
        <f>ROUND(⑤基本情報入力!L31*⑤基本情報入力!L32,2)</f>
        <v>0</v>
      </c>
      <c r="Q59" s="11">
        <f>ROUND(⑤基本情報入力!Q31*⑤基本情報入力!Q32,2)</f>
        <v>0</v>
      </c>
      <c r="R59" s="11">
        <f>ROUND(⑤基本情報入力!V31*⑤基本情報入力!V32,2)</f>
        <v>0</v>
      </c>
      <c r="S59" s="11">
        <f>ROUND(⑤基本情報入力!AA31*⑤基本情報入力!AA32,2)</f>
        <v>0</v>
      </c>
      <c r="T59" s="11">
        <f>ROUND(⑤基本情報入力!AF31*⑤基本情報入力!AF32,2)</f>
        <v>0</v>
      </c>
      <c r="U59" s="11">
        <f>ROUND(⑤基本情報入力!AK31*⑤基本情報入力!AK32,2)</f>
        <v>0</v>
      </c>
      <c r="V59" s="11">
        <f>ROUND(⑤基本情報入力!AP31*⑤基本情報入力!AP32,2)</f>
        <v>0</v>
      </c>
      <c r="W59" s="211">
        <f>ROUND(⑤基本情報入力!AQ31*⑤基本情報入力!AQ32,2)</f>
        <v>0</v>
      </c>
      <c r="X59" s="10">
        <f t="shared" ref="X59:X64" si="48">+SUM(I59:V59)</f>
        <v>0</v>
      </c>
      <c r="Y59" s="13" t="s">
        <v>170</v>
      </c>
    </row>
    <row r="60" spans="2:25">
      <c r="B60" s="368" t="s">
        <v>391</v>
      </c>
      <c r="C60" s="1326"/>
      <c r="D60" s="1328"/>
      <c r="E60" s="1330"/>
      <c r="F60" s="376" t="s">
        <v>59</v>
      </c>
      <c r="G60" s="372" t="s">
        <v>65</v>
      </c>
      <c r="H60" s="371"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368" t="s">
        <v>392</v>
      </c>
      <c r="C61" s="1326"/>
      <c r="D61" s="1331" t="s">
        <v>54</v>
      </c>
      <c r="E61" s="1332" t="s">
        <v>60</v>
      </c>
      <c r="F61" s="376" t="s">
        <v>61</v>
      </c>
      <c r="G61" s="372" t="s">
        <v>168</v>
      </c>
      <c r="H61" s="371" t="s">
        <v>0</v>
      </c>
      <c r="I61" s="18">
        <f>I59-I60</f>
        <v>0</v>
      </c>
      <c r="J61" s="18">
        <f t="shared" ref="J61:O61" si="50">J59-J60</f>
        <v>0</v>
      </c>
      <c r="K61" s="18">
        <f t="shared" si="50"/>
        <v>0</v>
      </c>
      <c r="L61" s="18">
        <f t="shared" si="50"/>
        <v>0</v>
      </c>
      <c r="M61" s="18">
        <f t="shared" si="50"/>
        <v>0</v>
      </c>
      <c r="N61" s="18">
        <f t="shared" si="50"/>
        <v>0</v>
      </c>
      <c r="O61" s="18">
        <f t="shared" si="50"/>
        <v>0</v>
      </c>
      <c r="P61" s="18">
        <f>P59-P60</f>
        <v>0</v>
      </c>
      <c r="Q61" s="18">
        <f t="shared" ref="Q61:W61" si="51">Q59-Q60</f>
        <v>0</v>
      </c>
      <c r="R61" s="18">
        <f t="shared" si="51"/>
        <v>0</v>
      </c>
      <c r="S61" s="18">
        <f>S59-S60</f>
        <v>0</v>
      </c>
      <c r="T61" s="18">
        <f t="shared" si="51"/>
        <v>0</v>
      </c>
      <c r="U61" s="18">
        <f>U59-U60</f>
        <v>0</v>
      </c>
      <c r="V61" s="18">
        <f t="shared" si="51"/>
        <v>0</v>
      </c>
      <c r="W61" s="315">
        <f t="shared" si="51"/>
        <v>0</v>
      </c>
      <c r="X61" s="15">
        <f t="shared" si="48"/>
        <v>0</v>
      </c>
      <c r="Y61" s="17"/>
    </row>
    <row r="62" spans="2:25">
      <c r="B62" s="368" t="s">
        <v>393</v>
      </c>
      <c r="C62" s="1326"/>
      <c r="D62" s="1326"/>
      <c r="E62" s="1329"/>
      <c r="F62" s="376" t="s">
        <v>62</v>
      </c>
      <c r="G62" s="372" t="s">
        <v>66</v>
      </c>
      <c r="H62" s="371" t="s">
        <v>38</v>
      </c>
      <c r="I62" s="34">
        <f t="shared" ref="I62:W62" si="52">ROUND(+I61*I66/100,2)</f>
        <v>0</v>
      </c>
      <c r="J62" s="34">
        <f t="shared" si="52"/>
        <v>0</v>
      </c>
      <c r="K62" s="34">
        <f t="shared" si="52"/>
        <v>0</v>
      </c>
      <c r="L62" s="34">
        <f t="shared" si="52"/>
        <v>0</v>
      </c>
      <c r="M62" s="34">
        <f t="shared" si="52"/>
        <v>0</v>
      </c>
      <c r="N62" s="34">
        <f t="shared" si="52"/>
        <v>0</v>
      </c>
      <c r="O62" s="34">
        <f t="shared" si="52"/>
        <v>0</v>
      </c>
      <c r="P62" s="35">
        <f t="shared" si="52"/>
        <v>0</v>
      </c>
      <c r="Q62" s="34">
        <f t="shared" si="52"/>
        <v>0</v>
      </c>
      <c r="R62" s="34">
        <f t="shared" si="52"/>
        <v>0</v>
      </c>
      <c r="S62" s="36">
        <f t="shared" si="52"/>
        <v>0</v>
      </c>
      <c r="T62" s="36">
        <f t="shared" si="52"/>
        <v>0</v>
      </c>
      <c r="U62" s="36">
        <f t="shared" si="52"/>
        <v>0</v>
      </c>
      <c r="V62" s="36">
        <f t="shared" si="52"/>
        <v>0</v>
      </c>
      <c r="W62" s="316">
        <f t="shared" si="52"/>
        <v>0</v>
      </c>
      <c r="X62" s="15">
        <f t="shared" si="48"/>
        <v>0</v>
      </c>
      <c r="Y62" s="17"/>
    </row>
    <row r="63" spans="2:25">
      <c r="B63" s="368" t="s">
        <v>394</v>
      </c>
      <c r="C63" s="1326"/>
      <c r="D63" s="1326"/>
      <c r="E63" s="1329"/>
      <c r="F63" s="376" t="s">
        <v>63</v>
      </c>
      <c r="G63" s="19" t="s">
        <v>67</v>
      </c>
      <c r="H63" s="371" t="s">
        <v>69</v>
      </c>
      <c r="I63" s="14">
        <f>+I61-I62</f>
        <v>0</v>
      </c>
      <c r="J63" s="14">
        <f t="shared" ref="J63:O63" si="53">+J61-J62</f>
        <v>0</v>
      </c>
      <c r="K63" s="14">
        <f t="shared" si="53"/>
        <v>0</v>
      </c>
      <c r="L63" s="14">
        <f t="shared" si="53"/>
        <v>0</v>
      </c>
      <c r="M63" s="14">
        <f t="shared" si="53"/>
        <v>0</v>
      </c>
      <c r="N63" s="14">
        <f t="shared" si="53"/>
        <v>0</v>
      </c>
      <c r="O63" s="14">
        <f t="shared" si="53"/>
        <v>0</v>
      </c>
      <c r="P63" s="15">
        <f>+P61-P62</f>
        <v>0</v>
      </c>
      <c r="Q63" s="14">
        <f>+Q61-Q62</f>
        <v>0</v>
      </c>
      <c r="R63" s="14">
        <f>+R61-R62</f>
        <v>0</v>
      </c>
      <c r="S63" s="16">
        <f t="shared" ref="S63:W63" si="54">+S61-S62</f>
        <v>0</v>
      </c>
      <c r="T63" s="16">
        <f t="shared" si="54"/>
        <v>0</v>
      </c>
      <c r="U63" s="16">
        <f t="shared" si="54"/>
        <v>0</v>
      </c>
      <c r="V63" s="16">
        <f t="shared" si="54"/>
        <v>0</v>
      </c>
      <c r="W63" s="210">
        <f t="shared" si="54"/>
        <v>0</v>
      </c>
      <c r="X63" s="15">
        <f t="shared" si="48"/>
        <v>0</v>
      </c>
      <c r="Y63" s="17"/>
    </row>
    <row r="64" spans="2:25" ht="14.25" thickBot="1">
      <c r="B64" s="368" t="s">
        <v>395</v>
      </c>
      <c r="C64" s="1327"/>
      <c r="D64" s="1327"/>
      <c r="E64" s="1333"/>
      <c r="F64" s="192" t="s">
        <v>64</v>
      </c>
      <c r="G64" s="204" t="s">
        <v>68</v>
      </c>
      <c r="H64" s="53" t="s">
        <v>35</v>
      </c>
      <c r="I64" s="190">
        <f t="shared" ref="I64:W64" si="55">ROUND(+I62*I67/100,2)</f>
        <v>0</v>
      </c>
      <c r="J64" s="190">
        <f t="shared" si="55"/>
        <v>0</v>
      </c>
      <c r="K64" s="190">
        <f t="shared" si="55"/>
        <v>0</v>
      </c>
      <c r="L64" s="190">
        <f t="shared" si="55"/>
        <v>0</v>
      </c>
      <c r="M64" s="190">
        <f t="shared" si="55"/>
        <v>0</v>
      </c>
      <c r="N64" s="190">
        <f t="shared" si="55"/>
        <v>0</v>
      </c>
      <c r="O64" s="190">
        <f t="shared" si="55"/>
        <v>0</v>
      </c>
      <c r="P64" s="205">
        <f t="shared" si="55"/>
        <v>0</v>
      </c>
      <c r="Q64" s="190">
        <f t="shared" si="55"/>
        <v>0</v>
      </c>
      <c r="R64" s="190">
        <f t="shared" si="55"/>
        <v>0</v>
      </c>
      <c r="S64" s="206">
        <f t="shared" si="55"/>
        <v>0</v>
      </c>
      <c r="T64" s="206">
        <f t="shared" si="55"/>
        <v>0</v>
      </c>
      <c r="U64" s="206">
        <f t="shared" si="55"/>
        <v>0</v>
      </c>
      <c r="V64" s="206">
        <f t="shared" si="55"/>
        <v>0</v>
      </c>
      <c r="W64" s="307">
        <f t="shared" si="55"/>
        <v>0</v>
      </c>
      <c r="X64" s="205">
        <f t="shared" si="48"/>
        <v>0</v>
      </c>
      <c r="Y64" s="193"/>
    </row>
    <row r="65" spans="2:25" ht="13.5" customHeight="1">
      <c r="B65" s="262" t="s">
        <v>396</v>
      </c>
      <c r="C65" s="1334" t="s">
        <v>89</v>
      </c>
      <c r="D65" s="370" t="s">
        <v>56</v>
      </c>
      <c r="E65" s="378" t="s">
        <v>57</v>
      </c>
      <c r="F65" s="378" t="s">
        <v>71</v>
      </c>
      <c r="G65" s="183" t="s">
        <v>50</v>
      </c>
      <c r="H65" s="370"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t="e">
        <f>+ROUND(X60/X59*100,1)</f>
        <v>#DIV/0!</v>
      </c>
      <c r="Y65" s="20"/>
    </row>
    <row r="66" spans="2:25">
      <c r="B66" s="368" t="s">
        <v>397</v>
      </c>
      <c r="C66" s="1325"/>
      <c r="D66" s="1331" t="s">
        <v>54</v>
      </c>
      <c r="E66" s="1336" t="s">
        <v>60</v>
      </c>
      <c r="F66" s="21" t="s">
        <v>51</v>
      </c>
      <c r="G66" s="170" t="s">
        <v>50</v>
      </c>
      <c r="H66" s="371" t="s">
        <v>53</v>
      </c>
      <c r="I66" s="52">
        <f t="shared" si="56"/>
        <v>0</v>
      </c>
      <c r="J66" s="52">
        <f t="shared" si="56"/>
        <v>0</v>
      </c>
      <c r="K66" s="52">
        <f t="shared" si="56"/>
        <v>0</v>
      </c>
      <c r="L66" s="52">
        <f t="shared" si="56"/>
        <v>0</v>
      </c>
      <c r="M66" s="52">
        <f t="shared" si="56"/>
        <v>0</v>
      </c>
      <c r="N66" s="52">
        <f t="shared" si="56"/>
        <v>0</v>
      </c>
      <c r="O66" s="52">
        <f t="shared" si="56"/>
        <v>0</v>
      </c>
      <c r="P66" s="52">
        <f t="shared" si="56"/>
        <v>0</v>
      </c>
      <c r="Q66" s="49">
        <f t="shared" si="56"/>
        <v>0</v>
      </c>
      <c r="R66" s="49">
        <f t="shared" si="56"/>
        <v>0</v>
      </c>
      <c r="S66" s="49">
        <f t="shared" si="56"/>
        <v>0</v>
      </c>
      <c r="T66" s="49">
        <f t="shared" si="56"/>
        <v>0</v>
      </c>
      <c r="U66" s="49">
        <f t="shared" si="56"/>
        <v>0</v>
      </c>
      <c r="V66" s="49">
        <f t="shared" si="56"/>
        <v>0</v>
      </c>
      <c r="W66" s="318">
        <f t="shared" si="56"/>
        <v>0</v>
      </c>
      <c r="X66" s="26">
        <f>IF(X61=0,0,ROUND(+X62/X61*100,1))</f>
        <v>0</v>
      </c>
      <c r="Y66" s="22"/>
    </row>
    <row r="67" spans="2:25">
      <c r="B67" s="368" t="s">
        <v>398</v>
      </c>
      <c r="C67" s="1325"/>
      <c r="D67" s="1325"/>
      <c r="E67" s="1336"/>
      <c r="F67" s="21" t="s">
        <v>52</v>
      </c>
      <c r="G67" s="170" t="s">
        <v>50</v>
      </c>
      <c r="H67" s="371" t="s">
        <v>91</v>
      </c>
      <c r="I67" s="52">
        <f t="shared" si="56"/>
        <v>0</v>
      </c>
      <c r="J67" s="52">
        <f t="shared" si="56"/>
        <v>0</v>
      </c>
      <c r="K67" s="52">
        <f t="shared" si="56"/>
        <v>0</v>
      </c>
      <c r="L67" s="52">
        <f t="shared" si="56"/>
        <v>0</v>
      </c>
      <c r="M67" s="52">
        <f t="shared" si="56"/>
        <v>0</v>
      </c>
      <c r="N67" s="52">
        <f t="shared" si="56"/>
        <v>0</v>
      </c>
      <c r="O67" s="52">
        <f t="shared" si="56"/>
        <v>0</v>
      </c>
      <c r="P67" s="52">
        <f t="shared" si="56"/>
        <v>0</v>
      </c>
      <c r="Q67" s="49">
        <f t="shared" si="56"/>
        <v>0</v>
      </c>
      <c r="R67" s="49">
        <f t="shared" si="56"/>
        <v>0</v>
      </c>
      <c r="S67" s="49">
        <f t="shared" si="56"/>
        <v>0</v>
      </c>
      <c r="T67" s="49">
        <f t="shared" si="56"/>
        <v>0</v>
      </c>
      <c r="U67" s="49">
        <f t="shared" si="56"/>
        <v>0</v>
      </c>
      <c r="V67" s="49">
        <f t="shared" si="56"/>
        <v>0</v>
      </c>
      <c r="W67" s="318">
        <f t="shared" si="56"/>
        <v>0</v>
      </c>
      <c r="X67" s="26" t="e">
        <f>+ROUND(X64/X62*100,1)</f>
        <v>#DIV/0!</v>
      </c>
      <c r="Y67" s="22"/>
    </row>
    <row r="68" spans="2:25">
      <c r="B68" s="368" t="s">
        <v>399</v>
      </c>
      <c r="C68" s="1325"/>
      <c r="D68" s="1325"/>
      <c r="E68" s="1336" t="s">
        <v>72</v>
      </c>
      <c r="F68" s="21" t="s">
        <v>73</v>
      </c>
      <c r="G68" s="170" t="s">
        <v>50</v>
      </c>
      <c r="H68" s="371" t="s">
        <v>53</v>
      </c>
      <c r="I68" s="52">
        <f t="shared" si="56"/>
        <v>0</v>
      </c>
      <c r="J68" s="52">
        <f t="shared" si="56"/>
        <v>0</v>
      </c>
      <c r="K68" s="52">
        <f t="shared" si="56"/>
        <v>0</v>
      </c>
      <c r="L68" s="52">
        <f t="shared" si="56"/>
        <v>0</v>
      </c>
      <c r="M68" s="52">
        <f t="shared" si="56"/>
        <v>0</v>
      </c>
      <c r="N68" s="52">
        <f t="shared" si="56"/>
        <v>0</v>
      </c>
      <c r="O68" s="52">
        <f t="shared" si="56"/>
        <v>0</v>
      </c>
      <c r="P68" s="52">
        <f t="shared" si="56"/>
        <v>0</v>
      </c>
      <c r="Q68" s="49">
        <f t="shared" si="56"/>
        <v>0</v>
      </c>
      <c r="R68" s="49">
        <f t="shared" si="56"/>
        <v>0</v>
      </c>
      <c r="S68" s="49">
        <f t="shared" si="56"/>
        <v>0</v>
      </c>
      <c r="T68" s="49">
        <f t="shared" si="56"/>
        <v>0</v>
      </c>
      <c r="U68" s="49">
        <f t="shared" si="56"/>
        <v>0</v>
      </c>
      <c r="V68" s="49">
        <f t="shared" si="56"/>
        <v>0</v>
      </c>
      <c r="W68" s="318">
        <f t="shared" si="56"/>
        <v>0</v>
      </c>
      <c r="X68" s="26" t="e">
        <f>+ROUND(X81/X64*100,1)</f>
        <v>#DIV/0!</v>
      </c>
      <c r="Y68" s="22"/>
    </row>
    <row r="69" spans="2:25" ht="15.75">
      <c r="B69" s="368" t="s">
        <v>400</v>
      </c>
      <c r="C69" s="1325"/>
      <c r="D69" s="1325"/>
      <c r="E69" s="1336"/>
      <c r="F69" s="21" t="s">
        <v>74</v>
      </c>
      <c r="G69" s="170" t="s">
        <v>50</v>
      </c>
      <c r="H69" s="371" t="s">
        <v>165</v>
      </c>
      <c r="I69" s="52">
        <f t="shared" si="56"/>
        <v>0</v>
      </c>
      <c r="J69" s="52">
        <f t="shared" si="56"/>
        <v>0</v>
      </c>
      <c r="K69" s="52">
        <f t="shared" si="56"/>
        <v>0</v>
      </c>
      <c r="L69" s="52">
        <f t="shared" si="56"/>
        <v>0</v>
      </c>
      <c r="M69" s="52">
        <f t="shared" si="56"/>
        <v>0</v>
      </c>
      <c r="N69" s="52">
        <f t="shared" si="56"/>
        <v>0</v>
      </c>
      <c r="O69" s="52">
        <f t="shared" si="56"/>
        <v>0</v>
      </c>
      <c r="P69" s="52">
        <f t="shared" si="56"/>
        <v>0</v>
      </c>
      <c r="Q69" s="49">
        <f t="shared" si="56"/>
        <v>0</v>
      </c>
      <c r="R69" s="49">
        <f t="shared" si="56"/>
        <v>0</v>
      </c>
      <c r="S69" s="49">
        <f t="shared" si="56"/>
        <v>0</v>
      </c>
      <c r="T69" s="49">
        <f t="shared" si="56"/>
        <v>0</v>
      </c>
      <c r="U69" s="49">
        <f t="shared" si="56"/>
        <v>0</v>
      </c>
      <c r="V69" s="49">
        <f t="shared" si="56"/>
        <v>0</v>
      </c>
      <c r="W69" s="318">
        <f t="shared" si="56"/>
        <v>0</v>
      </c>
      <c r="X69" s="26" t="e">
        <f>+ROUND(X84/X81/1000,2)</f>
        <v>#DIV/0!</v>
      </c>
      <c r="Y69" s="22"/>
    </row>
    <row r="70" spans="2:25" ht="15.75" customHeight="1">
      <c r="B70" s="368" t="s">
        <v>401</v>
      </c>
      <c r="C70" s="1325"/>
      <c r="D70" s="1325"/>
      <c r="E70" s="1336"/>
      <c r="F70" s="21" t="s">
        <v>75</v>
      </c>
      <c r="G70" s="170" t="s">
        <v>79</v>
      </c>
      <c r="H70" s="371" t="s">
        <v>166</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7" t="s">
        <v>118</v>
      </c>
    </row>
    <row r="71" spans="2:25" ht="13.5" customHeight="1">
      <c r="B71" s="368" t="s">
        <v>402</v>
      </c>
      <c r="C71" s="1325"/>
      <c r="D71" s="1325"/>
      <c r="E71" s="1336"/>
      <c r="F71" s="21" t="s">
        <v>76</v>
      </c>
      <c r="G71" s="170" t="s">
        <v>50</v>
      </c>
      <c r="H71" s="371"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7"/>
    </row>
    <row r="72" spans="2:25" ht="13.5" customHeight="1">
      <c r="B72" s="368" t="s">
        <v>403</v>
      </c>
      <c r="C72" s="1325"/>
      <c r="D72" s="1325"/>
      <c r="E72" s="1336"/>
      <c r="F72" s="21" t="s">
        <v>77</v>
      </c>
      <c r="G72" s="182" t="s">
        <v>374</v>
      </c>
      <c r="H72" s="371" t="s">
        <v>166</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7"/>
    </row>
    <row r="73" spans="2:25">
      <c r="B73" s="368" t="s">
        <v>404</v>
      </c>
      <c r="C73" s="1325"/>
      <c r="D73" s="1325"/>
      <c r="E73" s="1376" t="s">
        <v>106</v>
      </c>
      <c r="F73" s="27" t="s">
        <v>104</v>
      </c>
      <c r="G73" s="170" t="s">
        <v>50</v>
      </c>
      <c r="H73" s="371"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7"/>
    </row>
    <row r="74" spans="2:25">
      <c r="B74" s="368" t="s">
        <v>405</v>
      </c>
      <c r="C74" s="1325"/>
      <c r="D74" s="1351"/>
      <c r="E74" s="1376"/>
      <c r="F74" s="27" t="s">
        <v>105</v>
      </c>
      <c r="G74" s="170" t="s">
        <v>50</v>
      </c>
      <c r="H74" s="371"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7"/>
    </row>
    <row r="75" spans="2:25">
      <c r="B75" s="368" t="s">
        <v>406</v>
      </c>
      <c r="C75" s="1325"/>
      <c r="D75" s="1347" t="s">
        <v>353</v>
      </c>
      <c r="E75" s="1344" t="s">
        <v>223</v>
      </c>
      <c r="F75" s="1345"/>
      <c r="G75" s="170" t="s">
        <v>50</v>
      </c>
      <c r="H75" s="346"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7"/>
    </row>
    <row r="76" spans="2:25">
      <c r="B76" s="368" t="s">
        <v>407</v>
      </c>
      <c r="C76" s="1325"/>
      <c r="D76" s="1348"/>
      <c r="E76" s="1344" t="s">
        <v>224</v>
      </c>
      <c r="F76" s="1345"/>
      <c r="G76" s="170" t="s">
        <v>50</v>
      </c>
      <c r="H76" s="346" t="s">
        <v>217</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7"/>
    </row>
    <row r="77" spans="2:25">
      <c r="B77" s="188" t="s">
        <v>408</v>
      </c>
      <c r="C77" s="1325"/>
      <c r="D77" s="1349"/>
      <c r="E77" s="168" t="s">
        <v>225</v>
      </c>
      <c r="F77" s="169"/>
      <c r="G77" s="170" t="s">
        <v>50</v>
      </c>
      <c r="H77" s="346"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7"/>
    </row>
    <row r="78" spans="2:25">
      <c r="B78" s="368" t="s">
        <v>409</v>
      </c>
      <c r="C78" s="1325"/>
      <c r="D78" s="371" t="s">
        <v>30</v>
      </c>
      <c r="E78" s="1377" t="s">
        <v>78</v>
      </c>
      <c r="F78" s="1378"/>
      <c r="G78" s="170" t="s">
        <v>50</v>
      </c>
      <c r="H78" s="371"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7"/>
    </row>
    <row r="79" spans="2:25">
      <c r="B79" s="368" t="s">
        <v>410</v>
      </c>
      <c r="C79" s="1325"/>
      <c r="D79" s="1326" t="s">
        <v>101</v>
      </c>
      <c r="E79" s="37" t="s">
        <v>102</v>
      </c>
      <c r="F79" s="38"/>
      <c r="G79" s="170" t="s">
        <v>50</v>
      </c>
      <c r="H79" s="374"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
    </row>
    <row r="80" spans="2:25" ht="14.25" thickBot="1">
      <c r="B80" s="194" t="s">
        <v>411</v>
      </c>
      <c r="C80" s="1335"/>
      <c r="D80" s="1327"/>
      <c r="E80" s="200" t="s">
        <v>103</v>
      </c>
      <c r="F80" s="201"/>
      <c r="G80" s="178" t="s">
        <v>50</v>
      </c>
      <c r="H80" s="373"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203"/>
    </row>
    <row r="81" spans="2:25" ht="13.5" customHeight="1">
      <c r="B81" s="262" t="s">
        <v>113</v>
      </c>
      <c r="C81" s="1334" t="s">
        <v>88</v>
      </c>
      <c r="D81" s="1334" t="s">
        <v>54</v>
      </c>
      <c r="E81" s="1352" t="s">
        <v>80</v>
      </c>
      <c r="F81" s="1352"/>
      <c r="G81" s="184" t="s">
        <v>375</v>
      </c>
      <c r="H81" s="370" t="s">
        <v>35</v>
      </c>
      <c r="I81" s="9">
        <f t="shared" ref="I81:W81" si="72">ROUND(+I64*I68/100,2)</f>
        <v>0</v>
      </c>
      <c r="J81" s="9">
        <f t="shared" si="72"/>
        <v>0</v>
      </c>
      <c r="K81" s="9">
        <f t="shared" si="72"/>
        <v>0</v>
      </c>
      <c r="L81" s="9">
        <f t="shared" si="72"/>
        <v>0</v>
      </c>
      <c r="M81" s="9">
        <f t="shared" si="72"/>
        <v>0</v>
      </c>
      <c r="N81" s="9">
        <f t="shared" si="72"/>
        <v>0</v>
      </c>
      <c r="O81" s="9">
        <f t="shared" si="72"/>
        <v>0</v>
      </c>
      <c r="P81" s="30">
        <f t="shared" si="72"/>
        <v>0</v>
      </c>
      <c r="Q81" s="9">
        <f t="shared" si="72"/>
        <v>0</v>
      </c>
      <c r="R81" s="9">
        <f t="shared" si="72"/>
        <v>0</v>
      </c>
      <c r="S81" s="9">
        <f t="shared" si="72"/>
        <v>0</v>
      </c>
      <c r="T81" s="9">
        <f t="shared" si="72"/>
        <v>0</v>
      </c>
      <c r="U81" s="9">
        <f t="shared" si="72"/>
        <v>0</v>
      </c>
      <c r="V81" s="30">
        <f t="shared" si="72"/>
        <v>0</v>
      </c>
      <c r="W81" s="308">
        <f t="shared" si="72"/>
        <v>0</v>
      </c>
      <c r="X81" s="30">
        <f t="shared" ref="X81:X90" si="73">+SUM(I81:V81)</f>
        <v>0</v>
      </c>
      <c r="Y81" s="20"/>
    </row>
    <row r="82" spans="2:25">
      <c r="B82" s="176" t="s">
        <v>114</v>
      </c>
      <c r="C82" s="1325"/>
      <c r="D82" s="1325"/>
      <c r="E82" s="1336" t="s">
        <v>81</v>
      </c>
      <c r="F82" s="376" t="s">
        <v>64</v>
      </c>
      <c r="G82" s="170" t="s">
        <v>376</v>
      </c>
      <c r="H82" s="371" t="s">
        <v>35</v>
      </c>
      <c r="I82" s="14">
        <f t="shared" ref="I82:W82" si="74">+I64-I81</f>
        <v>0</v>
      </c>
      <c r="J82" s="14">
        <f t="shared" si="74"/>
        <v>0</v>
      </c>
      <c r="K82" s="14">
        <f t="shared" si="74"/>
        <v>0</v>
      </c>
      <c r="L82" s="14">
        <f t="shared" si="74"/>
        <v>0</v>
      </c>
      <c r="M82" s="14">
        <f t="shared" si="74"/>
        <v>0</v>
      </c>
      <c r="N82" s="14">
        <f t="shared" si="74"/>
        <v>0</v>
      </c>
      <c r="O82" s="14">
        <f t="shared" si="74"/>
        <v>0</v>
      </c>
      <c r="P82" s="15">
        <f t="shared" si="74"/>
        <v>0</v>
      </c>
      <c r="Q82" s="14">
        <f t="shared" si="74"/>
        <v>0</v>
      </c>
      <c r="R82" s="14">
        <f t="shared" si="74"/>
        <v>0</v>
      </c>
      <c r="S82" s="14">
        <f t="shared" si="74"/>
        <v>0</v>
      </c>
      <c r="T82" s="14">
        <f t="shared" si="74"/>
        <v>0</v>
      </c>
      <c r="U82" s="14">
        <f t="shared" si="74"/>
        <v>0</v>
      </c>
      <c r="V82" s="15">
        <f t="shared" si="74"/>
        <v>0</v>
      </c>
      <c r="W82" s="210">
        <f t="shared" si="74"/>
        <v>0</v>
      </c>
      <c r="X82" s="15">
        <f t="shared" si="73"/>
        <v>0</v>
      </c>
      <c r="Y82" s="17"/>
    </row>
    <row r="83" spans="2:25">
      <c r="B83" s="368" t="s">
        <v>115</v>
      </c>
      <c r="C83" s="1325"/>
      <c r="D83" s="1325"/>
      <c r="E83" s="1336"/>
      <c r="F83" s="376" t="s">
        <v>62</v>
      </c>
      <c r="G83" s="170" t="s">
        <v>377</v>
      </c>
      <c r="H83" s="371" t="s">
        <v>38</v>
      </c>
      <c r="I83" s="14">
        <f t="shared" ref="I83:W83" si="75">+I62-I81</f>
        <v>0</v>
      </c>
      <c r="J83" s="14">
        <f t="shared" si="75"/>
        <v>0</v>
      </c>
      <c r="K83" s="14">
        <f t="shared" si="75"/>
        <v>0</v>
      </c>
      <c r="L83" s="14">
        <f t="shared" si="75"/>
        <v>0</v>
      </c>
      <c r="M83" s="14">
        <f t="shared" si="75"/>
        <v>0</v>
      </c>
      <c r="N83" s="14">
        <f t="shared" si="75"/>
        <v>0</v>
      </c>
      <c r="O83" s="14">
        <f t="shared" si="75"/>
        <v>0</v>
      </c>
      <c r="P83" s="15">
        <f t="shared" si="75"/>
        <v>0</v>
      </c>
      <c r="Q83" s="14">
        <f t="shared" si="75"/>
        <v>0</v>
      </c>
      <c r="R83" s="14">
        <f t="shared" si="75"/>
        <v>0</v>
      </c>
      <c r="S83" s="14">
        <f t="shared" si="75"/>
        <v>0</v>
      </c>
      <c r="T83" s="14">
        <f t="shared" si="75"/>
        <v>0</v>
      </c>
      <c r="U83" s="14">
        <f t="shared" si="75"/>
        <v>0</v>
      </c>
      <c r="V83" s="15">
        <f t="shared" si="75"/>
        <v>0</v>
      </c>
      <c r="W83" s="210">
        <f t="shared" si="75"/>
        <v>0</v>
      </c>
      <c r="X83" s="15">
        <f t="shared" si="73"/>
        <v>0</v>
      </c>
      <c r="Y83" s="17"/>
    </row>
    <row r="84" spans="2:25" s="279" customFormat="1" ht="15.75" customHeight="1">
      <c r="B84" s="273" t="s">
        <v>116</v>
      </c>
      <c r="C84" s="1325"/>
      <c r="D84" s="1325"/>
      <c r="E84" s="1336" t="s">
        <v>72</v>
      </c>
      <c r="F84" s="377" t="s">
        <v>82</v>
      </c>
      <c r="G84" s="280" t="s">
        <v>378</v>
      </c>
      <c r="H84" s="283" t="s">
        <v>163</v>
      </c>
      <c r="I84" s="275">
        <f>ROUND(+I81*I69*1000,2)</f>
        <v>0</v>
      </c>
      <c r="J84" s="275">
        <f t="shared" ref="J84:W84" si="76">ROUND(+J81*J69*1000,2)</f>
        <v>0</v>
      </c>
      <c r="K84" s="275">
        <f t="shared" si="76"/>
        <v>0</v>
      </c>
      <c r="L84" s="275">
        <f t="shared" si="76"/>
        <v>0</v>
      </c>
      <c r="M84" s="275">
        <f t="shared" si="76"/>
        <v>0</v>
      </c>
      <c r="N84" s="275">
        <f t="shared" si="76"/>
        <v>0</v>
      </c>
      <c r="O84" s="275">
        <f t="shared" si="76"/>
        <v>0</v>
      </c>
      <c r="P84" s="281">
        <f t="shared" si="76"/>
        <v>0</v>
      </c>
      <c r="Q84" s="275">
        <f t="shared" si="76"/>
        <v>0</v>
      </c>
      <c r="R84" s="275">
        <f t="shared" si="76"/>
        <v>0</v>
      </c>
      <c r="S84" s="275">
        <f t="shared" si="76"/>
        <v>0</v>
      </c>
      <c r="T84" s="275">
        <f t="shared" si="76"/>
        <v>0</v>
      </c>
      <c r="U84" s="275">
        <f t="shared" si="76"/>
        <v>0</v>
      </c>
      <c r="V84" s="281">
        <f t="shared" si="76"/>
        <v>0</v>
      </c>
      <c r="W84" s="306">
        <f t="shared" si="76"/>
        <v>0</v>
      </c>
      <c r="X84" s="281">
        <f t="shared" si="73"/>
        <v>0</v>
      </c>
      <c r="Y84" s="276"/>
    </row>
    <row r="85" spans="2:25">
      <c r="B85" s="368" t="s">
        <v>117</v>
      </c>
      <c r="C85" s="1325"/>
      <c r="D85" s="1325"/>
      <c r="E85" s="1336"/>
      <c r="F85" s="376" t="s">
        <v>83</v>
      </c>
      <c r="G85" s="170" t="s">
        <v>379</v>
      </c>
      <c r="H85" s="371" t="s">
        <v>90</v>
      </c>
      <c r="I85" s="14">
        <f>ROUND(+I72*I84/1000,2)</f>
        <v>0</v>
      </c>
      <c r="J85" s="14">
        <f t="shared" ref="J85:W85" si="77">ROUND(+J72*J84/1000,2)</f>
        <v>0</v>
      </c>
      <c r="K85" s="14">
        <f t="shared" si="77"/>
        <v>0</v>
      </c>
      <c r="L85" s="14">
        <f t="shared" si="77"/>
        <v>0</v>
      </c>
      <c r="M85" s="14">
        <f t="shared" si="77"/>
        <v>0</v>
      </c>
      <c r="N85" s="14">
        <f t="shared" si="77"/>
        <v>0</v>
      </c>
      <c r="O85" s="14">
        <f t="shared" si="77"/>
        <v>0</v>
      </c>
      <c r="P85" s="15">
        <f t="shared" si="77"/>
        <v>0</v>
      </c>
      <c r="Q85" s="14">
        <f t="shared" si="77"/>
        <v>0</v>
      </c>
      <c r="R85" s="14">
        <f t="shared" si="77"/>
        <v>0</v>
      </c>
      <c r="S85" s="14">
        <f t="shared" si="77"/>
        <v>0</v>
      </c>
      <c r="T85" s="39">
        <f t="shared" si="77"/>
        <v>0</v>
      </c>
      <c r="U85" s="14">
        <f t="shared" si="77"/>
        <v>0</v>
      </c>
      <c r="V85" s="15">
        <f t="shared" si="77"/>
        <v>0</v>
      </c>
      <c r="W85" s="210">
        <f t="shared" si="77"/>
        <v>0</v>
      </c>
      <c r="X85" s="15">
        <f t="shared" si="73"/>
        <v>0</v>
      </c>
      <c r="Y85" s="17"/>
    </row>
    <row r="86" spans="2:25">
      <c r="B86" s="368" t="s">
        <v>319</v>
      </c>
      <c r="C86" s="1325"/>
      <c r="D86" s="1351"/>
      <c r="E86" s="376" t="s">
        <v>106</v>
      </c>
      <c r="F86" s="376" t="s">
        <v>108</v>
      </c>
      <c r="G86" s="170" t="s">
        <v>380</v>
      </c>
      <c r="H86" s="371" t="s">
        <v>90</v>
      </c>
      <c r="I86" s="14">
        <f t="shared" ref="I86:W86" si="78">+ROUND(I61*(I73-I74)*4.186,2)</f>
        <v>0</v>
      </c>
      <c r="J86" s="14">
        <f t="shared" si="78"/>
        <v>0</v>
      </c>
      <c r="K86" s="14">
        <f t="shared" si="78"/>
        <v>0</v>
      </c>
      <c r="L86" s="14">
        <f t="shared" si="78"/>
        <v>0</v>
      </c>
      <c r="M86" s="14">
        <f t="shared" si="78"/>
        <v>0</v>
      </c>
      <c r="N86" s="14">
        <f t="shared" si="78"/>
        <v>0</v>
      </c>
      <c r="O86" s="14">
        <f t="shared" si="78"/>
        <v>0</v>
      </c>
      <c r="P86" s="14">
        <f t="shared" si="78"/>
        <v>0</v>
      </c>
      <c r="Q86" s="14">
        <f t="shared" si="78"/>
        <v>0</v>
      </c>
      <c r="R86" s="14">
        <f t="shared" si="78"/>
        <v>0</v>
      </c>
      <c r="S86" s="14">
        <f t="shared" si="78"/>
        <v>0</v>
      </c>
      <c r="T86" s="14">
        <f t="shared" si="78"/>
        <v>0</v>
      </c>
      <c r="U86" s="14">
        <f t="shared" si="78"/>
        <v>0</v>
      </c>
      <c r="V86" s="14">
        <f t="shared" si="78"/>
        <v>0</v>
      </c>
      <c r="W86" s="210">
        <f t="shared" si="78"/>
        <v>0</v>
      </c>
      <c r="X86" s="15">
        <f t="shared" si="73"/>
        <v>0</v>
      </c>
      <c r="Y86" s="259" t="s">
        <v>119</v>
      </c>
    </row>
    <row r="87" spans="2:25">
      <c r="B87" s="368" t="s">
        <v>320</v>
      </c>
      <c r="C87" s="1325"/>
      <c r="D87" s="1347" t="s">
        <v>354</v>
      </c>
      <c r="E87" s="1356" t="s">
        <v>355</v>
      </c>
      <c r="F87" s="1356"/>
      <c r="G87" s="170" t="s">
        <v>356</v>
      </c>
      <c r="H87" s="339" t="s">
        <v>357</v>
      </c>
      <c r="I87" s="187">
        <f>ROUND(+I85*I75/100/3.6,2)</f>
        <v>0</v>
      </c>
      <c r="J87" s="187">
        <f t="shared" ref="J87:W87" si="79">ROUND(+J85*J75/100/3.6,2)</f>
        <v>0</v>
      </c>
      <c r="K87" s="187">
        <f t="shared" si="79"/>
        <v>0</v>
      </c>
      <c r="L87" s="187">
        <f t="shared" si="79"/>
        <v>0</v>
      </c>
      <c r="M87" s="187">
        <f t="shared" si="79"/>
        <v>0</v>
      </c>
      <c r="N87" s="187">
        <f t="shared" si="79"/>
        <v>0</v>
      </c>
      <c r="O87" s="187">
        <f t="shared" si="79"/>
        <v>0</v>
      </c>
      <c r="P87" s="187">
        <f t="shared" si="79"/>
        <v>0</v>
      </c>
      <c r="Q87" s="187">
        <f t="shared" si="79"/>
        <v>0</v>
      </c>
      <c r="R87" s="187">
        <f t="shared" si="79"/>
        <v>0</v>
      </c>
      <c r="S87" s="187">
        <f t="shared" si="79"/>
        <v>0</v>
      </c>
      <c r="T87" s="187">
        <f t="shared" si="79"/>
        <v>0</v>
      </c>
      <c r="U87" s="187">
        <f t="shared" si="79"/>
        <v>0</v>
      </c>
      <c r="V87" s="187">
        <f t="shared" si="79"/>
        <v>0</v>
      </c>
      <c r="W87" s="309">
        <f t="shared" si="79"/>
        <v>0</v>
      </c>
      <c r="X87" s="15">
        <f>SUM(I87:W87)</f>
        <v>0</v>
      </c>
      <c r="Y87" s="369" t="s">
        <v>412</v>
      </c>
    </row>
    <row r="88" spans="2:25">
      <c r="B88" s="368" t="s">
        <v>321</v>
      </c>
      <c r="C88" s="1325"/>
      <c r="D88" s="1348"/>
      <c r="E88" s="1356" t="s">
        <v>358</v>
      </c>
      <c r="F88" s="1356"/>
      <c r="G88" s="170" t="s">
        <v>359</v>
      </c>
      <c r="H88" s="339" t="s">
        <v>357</v>
      </c>
      <c r="I88" s="187">
        <f t="shared" ref="I88:W88" si="80">ROUND(+I87*I76,2)</f>
        <v>0</v>
      </c>
      <c r="J88" s="187">
        <f t="shared" si="80"/>
        <v>0</v>
      </c>
      <c r="K88" s="187">
        <f t="shared" si="80"/>
        <v>0</v>
      </c>
      <c r="L88" s="187">
        <f t="shared" si="80"/>
        <v>0</v>
      </c>
      <c r="M88" s="187">
        <f t="shared" si="80"/>
        <v>0</v>
      </c>
      <c r="N88" s="187">
        <f t="shared" si="80"/>
        <v>0</v>
      </c>
      <c r="O88" s="187">
        <f t="shared" si="80"/>
        <v>0</v>
      </c>
      <c r="P88" s="187">
        <f t="shared" si="80"/>
        <v>0</v>
      </c>
      <c r="Q88" s="187">
        <f t="shared" si="80"/>
        <v>0</v>
      </c>
      <c r="R88" s="187">
        <f t="shared" si="80"/>
        <v>0</v>
      </c>
      <c r="S88" s="187">
        <f t="shared" si="80"/>
        <v>0</v>
      </c>
      <c r="T88" s="187">
        <f t="shared" si="80"/>
        <v>0</v>
      </c>
      <c r="U88" s="187">
        <f t="shared" si="80"/>
        <v>0</v>
      </c>
      <c r="V88" s="187">
        <f t="shared" si="80"/>
        <v>0</v>
      </c>
      <c r="W88" s="309">
        <f t="shared" si="80"/>
        <v>0</v>
      </c>
      <c r="X88" s="15">
        <f>SUM(I88:W88)</f>
        <v>0</v>
      </c>
      <c r="Y88" s="1342"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368" t="s">
        <v>322</v>
      </c>
      <c r="C89" s="1325"/>
      <c r="D89" s="1349"/>
      <c r="E89" s="1344" t="s">
        <v>360</v>
      </c>
      <c r="F89" s="1345"/>
      <c r="G89" s="170" t="s">
        <v>361</v>
      </c>
      <c r="H89" s="339" t="s">
        <v>90</v>
      </c>
      <c r="I89" s="187">
        <f>+ROUND(I85*I77/100,2)</f>
        <v>0</v>
      </c>
      <c r="J89" s="187">
        <f t="shared" ref="J89:W89" si="81">+ROUND(J85*J77/100,2)</f>
        <v>0</v>
      </c>
      <c r="K89" s="187">
        <f t="shared" si="81"/>
        <v>0</v>
      </c>
      <c r="L89" s="187">
        <f t="shared" si="81"/>
        <v>0</v>
      </c>
      <c r="M89" s="187">
        <f t="shared" si="81"/>
        <v>0</v>
      </c>
      <c r="N89" s="187">
        <f t="shared" si="81"/>
        <v>0</v>
      </c>
      <c r="O89" s="187">
        <f t="shared" si="81"/>
        <v>0</v>
      </c>
      <c r="P89" s="187">
        <f t="shared" si="81"/>
        <v>0</v>
      </c>
      <c r="Q89" s="187">
        <f t="shared" si="81"/>
        <v>0</v>
      </c>
      <c r="R89" s="187">
        <f t="shared" si="81"/>
        <v>0</v>
      </c>
      <c r="S89" s="187">
        <f t="shared" si="81"/>
        <v>0</v>
      </c>
      <c r="T89" s="187">
        <f t="shared" si="81"/>
        <v>0</v>
      </c>
      <c r="U89" s="187">
        <f t="shared" si="81"/>
        <v>0</v>
      </c>
      <c r="V89" s="187">
        <f t="shared" si="81"/>
        <v>0</v>
      </c>
      <c r="W89" s="309">
        <f t="shared" si="81"/>
        <v>0</v>
      </c>
      <c r="X89" s="15">
        <f>SUM(I89:W89)</f>
        <v>0</v>
      </c>
      <c r="Y89" s="1343"/>
    </row>
    <row r="90" spans="2:25">
      <c r="B90" s="368" t="s">
        <v>323</v>
      </c>
      <c r="C90" s="1325"/>
      <c r="D90" s="1308" t="s">
        <v>30</v>
      </c>
      <c r="E90" s="1336" t="s">
        <v>29</v>
      </c>
      <c r="F90" s="1336"/>
      <c r="G90" s="170" t="str">
        <f>"=c"</f>
        <v>=c</v>
      </c>
      <c r="H90" s="371" t="s">
        <v>0</v>
      </c>
      <c r="I90" s="14">
        <f t="shared" ref="I90:W90" si="82">+I61</f>
        <v>0</v>
      </c>
      <c r="J90" s="14">
        <f t="shared" si="82"/>
        <v>0</v>
      </c>
      <c r="K90" s="14">
        <f t="shared" si="82"/>
        <v>0</v>
      </c>
      <c r="L90" s="14">
        <f t="shared" si="82"/>
        <v>0</v>
      </c>
      <c r="M90" s="14">
        <f t="shared" si="82"/>
        <v>0</v>
      </c>
      <c r="N90" s="14">
        <f t="shared" si="82"/>
        <v>0</v>
      </c>
      <c r="O90" s="14">
        <f t="shared" si="82"/>
        <v>0</v>
      </c>
      <c r="P90" s="14">
        <f t="shared" si="82"/>
        <v>0</v>
      </c>
      <c r="Q90" s="14">
        <f t="shared" si="82"/>
        <v>0</v>
      </c>
      <c r="R90" s="14">
        <f t="shared" si="82"/>
        <v>0</v>
      </c>
      <c r="S90" s="14">
        <f t="shared" si="82"/>
        <v>0</v>
      </c>
      <c r="T90" s="14">
        <f t="shared" si="82"/>
        <v>0</v>
      </c>
      <c r="U90" s="14">
        <f t="shared" si="82"/>
        <v>0</v>
      </c>
      <c r="V90" s="14">
        <f t="shared" si="82"/>
        <v>0</v>
      </c>
      <c r="W90" s="210">
        <f t="shared" si="82"/>
        <v>0</v>
      </c>
      <c r="X90" s="15">
        <f t="shared" si="73"/>
        <v>0</v>
      </c>
      <c r="Y90" s="259"/>
    </row>
    <row r="91" spans="2:25">
      <c r="B91" s="368" t="s">
        <v>324</v>
      </c>
      <c r="C91" s="1325"/>
      <c r="D91" s="1308"/>
      <c r="E91" s="1336" t="s">
        <v>84</v>
      </c>
      <c r="F91" s="1336"/>
      <c r="G91" s="170" t="s">
        <v>381</v>
      </c>
      <c r="H91" s="371" t="s">
        <v>53</v>
      </c>
      <c r="I91" s="14">
        <f>IF(I90=0,0,ROUND(+I83/I90*100,2))</f>
        <v>0</v>
      </c>
      <c r="J91" s="14">
        <f t="shared" ref="J91:X91" si="83">IF(J90=0,0,ROUND(+J83/J90*100,2))</f>
        <v>0</v>
      </c>
      <c r="K91" s="14">
        <f t="shared" si="83"/>
        <v>0</v>
      </c>
      <c r="L91" s="14">
        <f t="shared" si="83"/>
        <v>0</v>
      </c>
      <c r="M91" s="14">
        <f t="shared" si="83"/>
        <v>0</v>
      </c>
      <c r="N91" s="14">
        <f t="shared" si="83"/>
        <v>0</v>
      </c>
      <c r="O91" s="14">
        <f t="shared" si="83"/>
        <v>0</v>
      </c>
      <c r="P91" s="14">
        <f t="shared" si="83"/>
        <v>0</v>
      </c>
      <c r="Q91" s="14">
        <f t="shared" si="83"/>
        <v>0</v>
      </c>
      <c r="R91" s="14">
        <f t="shared" si="83"/>
        <v>0</v>
      </c>
      <c r="S91" s="14">
        <f t="shared" si="83"/>
        <v>0</v>
      </c>
      <c r="T91" s="14">
        <f t="shared" si="83"/>
        <v>0</v>
      </c>
      <c r="U91" s="14">
        <f t="shared" si="83"/>
        <v>0</v>
      </c>
      <c r="V91" s="14">
        <f t="shared" si="83"/>
        <v>0</v>
      </c>
      <c r="W91" s="210">
        <f t="shared" si="83"/>
        <v>0</v>
      </c>
      <c r="X91" s="15">
        <f t="shared" si="83"/>
        <v>0</v>
      </c>
      <c r="Y91" s="259"/>
    </row>
    <row r="92" spans="2:25">
      <c r="B92" s="368" t="s">
        <v>325</v>
      </c>
      <c r="C92" s="1325"/>
      <c r="D92" s="1308"/>
      <c r="E92" s="1336" t="s">
        <v>85</v>
      </c>
      <c r="F92" s="1336"/>
      <c r="G92" s="170" t="s">
        <v>382</v>
      </c>
      <c r="H92" s="371" t="s">
        <v>0</v>
      </c>
      <c r="I92" s="14">
        <f>ROUND(+I83/(1-I78/100),2)</f>
        <v>0</v>
      </c>
      <c r="J92" s="14">
        <f t="shared" ref="J92:W92" si="84">ROUND(+J83/(1-J78/100),2)</f>
        <v>0</v>
      </c>
      <c r="K92" s="14">
        <f t="shared" si="84"/>
        <v>0</v>
      </c>
      <c r="L92" s="14">
        <f t="shared" si="84"/>
        <v>0</v>
      </c>
      <c r="M92" s="14">
        <f t="shared" si="84"/>
        <v>0</v>
      </c>
      <c r="N92" s="14">
        <f t="shared" si="84"/>
        <v>0</v>
      </c>
      <c r="O92" s="14">
        <f t="shared" si="84"/>
        <v>0</v>
      </c>
      <c r="P92" s="14">
        <f t="shared" si="84"/>
        <v>0</v>
      </c>
      <c r="Q92" s="14">
        <f t="shared" si="84"/>
        <v>0</v>
      </c>
      <c r="R92" s="14">
        <f t="shared" si="84"/>
        <v>0</v>
      </c>
      <c r="S92" s="14">
        <f t="shared" si="84"/>
        <v>0</v>
      </c>
      <c r="T92" s="14">
        <f t="shared" si="84"/>
        <v>0</v>
      </c>
      <c r="U92" s="14">
        <f t="shared" si="84"/>
        <v>0</v>
      </c>
      <c r="V92" s="14">
        <f t="shared" si="84"/>
        <v>0</v>
      </c>
      <c r="W92" s="210">
        <f t="shared" si="84"/>
        <v>0</v>
      </c>
      <c r="X92" s="15">
        <f t="shared" ref="X92:X98" si="85">+SUM(I92:V92)</f>
        <v>0</v>
      </c>
      <c r="Y92" s="259"/>
    </row>
    <row r="93" spans="2:25" ht="13.5" customHeight="1">
      <c r="B93" s="368" t="s">
        <v>326</v>
      </c>
      <c r="C93" s="1325"/>
      <c r="D93" s="1308"/>
      <c r="E93" s="1336" t="s">
        <v>86</v>
      </c>
      <c r="F93" s="1336"/>
      <c r="G93" s="170" t="str">
        <f>"=③"</f>
        <v>=③</v>
      </c>
      <c r="H93" s="371" t="s">
        <v>38</v>
      </c>
      <c r="I93" s="14">
        <f>+I83</f>
        <v>0</v>
      </c>
      <c r="J93" s="14">
        <f t="shared" ref="J93:W93" si="86">+J83</f>
        <v>0</v>
      </c>
      <c r="K93" s="14">
        <f t="shared" si="86"/>
        <v>0</v>
      </c>
      <c r="L93" s="14">
        <f t="shared" si="86"/>
        <v>0</v>
      </c>
      <c r="M93" s="14">
        <f t="shared" si="86"/>
        <v>0</v>
      </c>
      <c r="N93" s="14">
        <f t="shared" si="86"/>
        <v>0</v>
      </c>
      <c r="O93" s="14">
        <f t="shared" si="86"/>
        <v>0</v>
      </c>
      <c r="P93" s="14">
        <f t="shared" si="86"/>
        <v>0</v>
      </c>
      <c r="Q93" s="14">
        <f t="shared" si="86"/>
        <v>0</v>
      </c>
      <c r="R93" s="14">
        <f t="shared" si="86"/>
        <v>0</v>
      </c>
      <c r="S93" s="14">
        <f t="shared" si="86"/>
        <v>0</v>
      </c>
      <c r="T93" s="14">
        <f t="shared" si="86"/>
        <v>0</v>
      </c>
      <c r="U93" s="14">
        <f t="shared" si="86"/>
        <v>0</v>
      </c>
      <c r="V93" s="14">
        <f t="shared" si="86"/>
        <v>0</v>
      </c>
      <c r="W93" s="210">
        <f t="shared" si="86"/>
        <v>0</v>
      </c>
      <c r="X93" s="15">
        <f t="shared" si="85"/>
        <v>0</v>
      </c>
      <c r="Y93" s="259"/>
    </row>
    <row r="94" spans="2:25" ht="15.75">
      <c r="B94" s="368" t="s">
        <v>327</v>
      </c>
      <c r="C94" s="1325"/>
      <c r="D94" s="1308"/>
      <c r="E94" s="1336" t="s">
        <v>87</v>
      </c>
      <c r="F94" s="1336"/>
      <c r="G94" s="185" t="s">
        <v>383</v>
      </c>
      <c r="H94" s="371" t="s">
        <v>164</v>
      </c>
      <c r="I94" s="51">
        <f t="shared" ref="I94:W94" si="87">+I61-I92</f>
        <v>0</v>
      </c>
      <c r="J94" s="51">
        <f t="shared" si="87"/>
        <v>0</v>
      </c>
      <c r="K94" s="51">
        <f t="shared" si="87"/>
        <v>0</v>
      </c>
      <c r="L94" s="51">
        <f t="shared" si="87"/>
        <v>0</v>
      </c>
      <c r="M94" s="51">
        <f t="shared" si="87"/>
        <v>0</v>
      </c>
      <c r="N94" s="51">
        <f t="shared" si="87"/>
        <v>0</v>
      </c>
      <c r="O94" s="51">
        <f t="shared" si="87"/>
        <v>0</v>
      </c>
      <c r="P94" s="31">
        <f t="shared" si="87"/>
        <v>0</v>
      </c>
      <c r="Q94" s="31">
        <f t="shared" si="87"/>
        <v>0</v>
      </c>
      <c r="R94" s="31">
        <f t="shared" si="87"/>
        <v>0</v>
      </c>
      <c r="S94" s="31">
        <f t="shared" si="87"/>
        <v>0</v>
      </c>
      <c r="T94" s="14">
        <f t="shared" si="87"/>
        <v>0</v>
      </c>
      <c r="U94" s="14">
        <f t="shared" si="87"/>
        <v>0</v>
      </c>
      <c r="V94" s="14">
        <f t="shared" si="87"/>
        <v>0</v>
      </c>
      <c r="W94" s="210">
        <f t="shared" si="87"/>
        <v>0</v>
      </c>
      <c r="X94" s="15">
        <f t="shared" si="85"/>
        <v>0</v>
      </c>
      <c r="Y94" s="259"/>
    </row>
    <row r="95" spans="2:25">
      <c r="B95" s="176" t="s">
        <v>337</v>
      </c>
      <c r="C95" s="1325"/>
      <c r="D95" s="1308" t="s">
        <v>101</v>
      </c>
      <c r="E95" s="1330" t="s">
        <v>109</v>
      </c>
      <c r="F95" s="1330"/>
      <c r="G95" s="170" t="s">
        <v>384</v>
      </c>
      <c r="H95" s="374" t="s">
        <v>0</v>
      </c>
      <c r="I95" s="11">
        <f>+ROUND(I93/(1-I79/100),2)</f>
        <v>0</v>
      </c>
      <c r="J95" s="11">
        <f t="shared" ref="J95:W95" si="88">+ROUND(J93/(1-J79/100),2)</f>
        <v>0</v>
      </c>
      <c r="K95" s="11">
        <f t="shared" si="88"/>
        <v>0</v>
      </c>
      <c r="L95" s="11">
        <f t="shared" si="88"/>
        <v>0</v>
      </c>
      <c r="M95" s="11">
        <f t="shared" si="88"/>
        <v>0</v>
      </c>
      <c r="N95" s="11">
        <f t="shared" si="88"/>
        <v>0</v>
      </c>
      <c r="O95" s="11">
        <f t="shared" si="88"/>
        <v>0</v>
      </c>
      <c r="P95" s="10">
        <f t="shared" si="88"/>
        <v>0</v>
      </c>
      <c r="Q95" s="11">
        <f t="shared" si="88"/>
        <v>0</v>
      </c>
      <c r="R95" s="11">
        <f t="shared" si="88"/>
        <v>0</v>
      </c>
      <c r="S95" s="12">
        <f t="shared" si="88"/>
        <v>0</v>
      </c>
      <c r="T95" s="12">
        <f t="shared" si="88"/>
        <v>0</v>
      </c>
      <c r="U95" s="12">
        <f t="shared" si="88"/>
        <v>0</v>
      </c>
      <c r="V95" s="12">
        <f t="shared" si="88"/>
        <v>0</v>
      </c>
      <c r="W95" s="211">
        <f t="shared" si="88"/>
        <v>0</v>
      </c>
      <c r="X95" s="10">
        <f t="shared" si="85"/>
        <v>0</v>
      </c>
      <c r="Y95" s="260"/>
    </row>
    <row r="96" spans="2:25">
      <c r="B96" s="368" t="s">
        <v>362</v>
      </c>
      <c r="C96" s="1325"/>
      <c r="D96" s="1308"/>
      <c r="E96" s="1336" t="s">
        <v>110</v>
      </c>
      <c r="F96" s="1336"/>
      <c r="G96" s="170" t="str">
        <f>"=⑬"</f>
        <v>=⑬</v>
      </c>
      <c r="H96" s="371" t="s">
        <v>38</v>
      </c>
      <c r="I96" s="14">
        <f t="shared" ref="I96:W96" si="89">+I93</f>
        <v>0</v>
      </c>
      <c r="J96" s="14">
        <f t="shared" si="89"/>
        <v>0</v>
      </c>
      <c r="K96" s="14">
        <f t="shared" si="89"/>
        <v>0</v>
      </c>
      <c r="L96" s="14">
        <f t="shared" si="89"/>
        <v>0</v>
      </c>
      <c r="M96" s="14">
        <f t="shared" si="89"/>
        <v>0</v>
      </c>
      <c r="N96" s="14">
        <f t="shared" si="89"/>
        <v>0</v>
      </c>
      <c r="O96" s="14">
        <f t="shared" si="89"/>
        <v>0</v>
      </c>
      <c r="P96" s="15">
        <f t="shared" si="89"/>
        <v>0</v>
      </c>
      <c r="Q96" s="14">
        <f t="shared" si="89"/>
        <v>0</v>
      </c>
      <c r="R96" s="14">
        <f t="shared" si="89"/>
        <v>0</v>
      </c>
      <c r="S96" s="14">
        <f t="shared" si="89"/>
        <v>0</v>
      </c>
      <c r="T96" s="14">
        <f t="shared" si="89"/>
        <v>0</v>
      </c>
      <c r="U96" s="39">
        <f t="shared" si="89"/>
        <v>0</v>
      </c>
      <c r="V96" s="14">
        <f t="shared" si="89"/>
        <v>0</v>
      </c>
      <c r="W96" s="210">
        <f t="shared" si="89"/>
        <v>0</v>
      </c>
      <c r="X96" s="15">
        <f t="shared" si="85"/>
        <v>0</v>
      </c>
      <c r="Y96" s="259"/>
    </row>
    <row r="97" spans="2:25">
      <c r="B97" s="368" t="s">
        <v>363</v>
      </c>
      <c r="C97" s="1325"/>
      <c r="D97" s="1308"/>
      <c r="E97" s="1336" t="s">
        <v>111</v>
      </c>
      <c r="F97" s="1336"/>
      <c r="G97" s="170" t="s">
        <v>385</v>
      </c>
      <c r="H97" s="371" t="s">
        <v>0</v>
      </c>
      <c r="I97" s="14">
        <f t="shared" ref="I97:W97" si="90">+I92-I95</f>
        <v>0</v>
      </c>
      <c r="J97" s="14">
        <f t="shared" si="90"/>
        <v>0</v>
      </c>
      <c r="K97" s="14">
        <f t="shared" si="90"/>
        <v>0</v>
      </c>
      <c r="L97" s="14">
        <f t="shared" si="90"/>
        <v>0</v>
      </c>
      <c r="M97" s="14">
        <f t="shared" si="90"/>
        <v>0</v>
      </c>
      <c r="N97" s="14">
        <f t="shared" si="90"/>
        <v>0</v>
      </c>
      <c r="O97" s="14">
        <f t="shared" si="90"/>
        <v>0</v>
      </c>
      <c r="P97" s="15">
        <f t="shared" si="90"/>
        <v>0</v>
      </c>
      <c r="Q97" s="14">
        <f t="shared" si="90"/>
        <v>0</v>
      </c>
      <c r="R97" s="14">
        <f t="shared" si="90"/>
        <v>0</v>
      </c>
      <c r="S97" s="16">
        <f t="shared" si="90"/>
        <v>0</v>
      </c>
      <c r="T97" s="16">
        <f t="shared" si="90"/>
        <v>0</v>
      </c>
      <c r="U97" s="16">
        <f t="shared" si="90"/>
        <v>0</v>
      </c>
      <c r="V97" s="16">
        <f t="shared" si="90"/>
        <v>0</v>
      </c>
      <c r="W97" s="210">
        <f t="shared" si="90"/>
        <v>0</v>
      </c>
      <c r="X97" s="15">
        <f t="shared" si="85"/>
        <v>0</v>
      </c>
      <c r="Y97" s="259"/>
    </row>
    <row r="98" spans="2:25" ht="40.5">
      <c r="B98" s="368" t="s">
        <v>364</v>
      </c>
      <c r="C98" s="1325"/>
      <c r="D98" s="1308"/>
      <c r="E98" s="1336" t="s">
        <v>108</v>
      </c>
      <c r="F98" s="1336"/>
      <c r="G98" s="186" t="s">
        <v>386</v>
      </c>
      <c r="H98" s="371" t="s">
        <v>90</v>
      </c>
      <c r="I98" s="14">
        <f>+ROUND((100-I80)*(I92-I96)*4.186+I97*2258+(100-I80)*I96*0.3*4.184,2)</f>
        <v>0</v>
      </c>
      <c r="J98" s="14">
        <f t="shared" ref="J98:W98" si="91">+ROUND((100-J80)*(J92-J96)*4.186+J97*2258+(100-J80)*J96*0.3*4.184,2)</f>
        <v>0</v>
      </c>
      <c r="K98" s="14">
        <f t="shared" si="91"/>
        <v>0</v>
      </c>
      <c r="L98" s="14">
        <f t="shared" si="91"/>
        <v>0</v>
      </c>
      <c r="M98" s="14">
        <f t="shared" si="91"/>
        <v>0</v>
      </c>
      <c r="N98" s="14">
        <f t="shared" si="91"/>
        <v>0</v>
      </c>
      <c r="O98" s="14">
        <f t="shared" si="91"/>
        <v>0</v>
      </c>
      <c r="P98" s="15">
        <f t="shared" si="91"/>
        <v>0</v>
      </c>
      <c r="Q98" s="14">
        <f t="shared" si="91"/>
        <v>0</v>
      </c>
      <c r="R98" s="14">
        <f t="shared" si="91"/>
        <v>0</v>
      </c>
      <c r="S98" s="16">
        <f t="shared" si="91"/>
        <v>0</v>
      </c>
      <c r="T98" s="16">
        <f t="shared" si="91"/>
        <v>0</v>
      </c>
      <c r="U98" s="16">
        <f t="shared" si="91"/>
        <v>0</v>
      </c>
      <c r="V98" s="16">
        <f t="shared" si="91"/>
        <v>0</v>
      </c>
      <c r="W98" s="210">
        <f t="shared" si="91"/>
        <v>0</v>
      </c>
      <c r="X98" s="15">
        <f t="shared" si="85"/>
        <v>0</v>
      </c>
      <c r="Y98" s="261" t="s">
        <v>112</v>
      </c>
    </row>
    <row r="99" spans="2:25">
      <c r="B99" s="188" t="s">
        <v>365</v>
      </c>
      <c r="C99" s="1325"/>
      <c r="D99" s="1347" t="s">
        <v>127</v>
      </c>
      <c r="E99" s="1337" t="s">
        <v>128</v>
      </c>
      <c r="F99" s="177" t="s">
        <v>369</v>
      </c>
      <c r="G99" s="178" t="s">
        <v>387</v>
      </c>
      <c r="H99" s="1221"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366</v>
      </c>
      <c r="C100" s="1325"/>
      <c r="D100" s="1348"/>
      <c r="E100" s="1338"/>
      <c r="F100" s="179" t="s">
        <v>370</v>
      </c>
      <c r="G100" s="178" t="s">
        <v>388</v>
      </c>
      <c r="H100" s="1221"/>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0</v>
      </c>
      <c r="Y100" s="369"/>
    </row>
    <row r="101" spans="2:25">
      <c r="B101" s="188" t="s">
        <v>367</v>
      </c>
      <c r="C101" s="1325"/>
      <c r="D101" s="1348"/>
      <c r="E101" s="1338"/>
      <c r="F101" s="179" t="s">
        <v>371</v>
      </c>
      <c r="G101" s="178" t="s">
        <v>389</v>
      </c>
      <c r="H101" s="1221"/>
      <c r="I101" s="208">
        <f t="shared" ref="I101:W101" si="94">IFERROR(IF(I89&gt;=I86,IF((I86-I85-I89)/J99&lt;0,0,+ROUND((I86-I85-I89)/J99,0)),"-"),0)</f>
        <v>0</v>
      </c>
      <c r="J101" s="208">
        <f t="shared" si="94"/>
        <v>0</v>
      </c>
      <c r="K101" s="208">
        <f t="shared" si="94"/>
        <v>0</v>
      </c>
      <c r="L101" s="208">
        <f t="shared" si="94"/>
        <v>0</v>
      </c>
      <c r="M101" s="208">
        <f t="shared" si="94"/>
        <v>0</v>
      </c>
      <c r="N101" s="208">
        <f t="shared" si="94"/>
        <v>0</v>
      </c>
      <c r="O101" s="208">
        <f t="shared" si="94"/>
        <v>0</v>
      </c>
      <c r="P101" s="208">
        <f t="shared" si="94"/>
        <v>0</v>
      </c>
      <c r="Q101" s="208">
        <f t="shared" si="94"/>
        <v>0</v>
      </c>
      <c r="R101" s="208">
        <f t="shared" si="94"/>
        <v>0</v>
      </c>
      <c r="S101" s="208">
        <f t="shared" si="94"/>
        <v>0</v>
      </c>
      <c r="T101" s="208">
        <f t="shared" si="94"/>
        <v>0</v>
      </c>
      <c r="U101" s="208">
        <f t="shared" si="94"/>
        <v>0</v>
      </c>
      <c r="V101" s="208">
        <f t="shared" si="94"/>
        <v>0</v>
      </c>
      <c r="W101" s="311">
        <f t="shared" si="94"/>
        <v>0</v>
      </c>
      <c r="X101" s="208">
        <f>IFERROR(IF(X89&gt;=X86,IF((X86-X85-X89)/Y99&lt;0,0,+ROUND((X86-X85-X89)/Y99,0)),"-"),0)</f>
        <v>0</v>
      </c>
      <c r="Y101" s="369"/>
    </row>
    <row r="102" spans="2:25" ht="14.25" thickBot="1">
      <c r="B102" s="305" t="s">
        <v>368</v>
      </c>
      <c r="C102" s="1335"/>
      <c r="D102" s="1357"/>
      <c r="E102" s="1358"/>
      <c r="F102" s="180" t="s">
        <v>372</v>
      </c>
      <c r="G102" s="181" t="s">
        <v>373</v>
      </c>
      <c r="H102" s="1379"/>
      <c r="I102" s="209">
        <f t="shared" ref="I102:W102" si="95">IFERROR(IF(I89&gt;=I86,ROUND((I86+I98-I89)/J99,0),"-"),0)</f>
        <v>0</v>
      </c>
      <c r="J102" s="209">
        <f t="shared" si="95"/>
        <v>0</v>
      </c>
      <c r="K102" s="209">
        <f t="shared" si="95"/>
        <v>0</v>
      </c>
      <c r="L102" s="209">
        <f t="shared" si="95"/>
        <v>0</v>
      </c>
      <c r="M102" s="209">
        <f t="shared" si="95"/>
        <v>0</v>
      </c>
      <c r="N102" s="209">
        <f t="shared" si="95"/>
        <v>0</v>
      </c>
      <c r="O102" s="209">
        <f t="shared" si="95"/>
        <v>0</v>
      </c>
      <c r="P102" s="209">
        <f t="shared" si="95"/>
        <v>0</v>
      </c>
      <c r="Q102" s="209">
        <f t="shared" si="95"/>
        <v>0</v>
      </c>
      <c r="R102" s="209">
        <f t="shared" si="95"/>
        <v>0</v>
      </c>
      <c r="S102" s="209">
        <f t="shared" si="95"/>
        <v>0</v>
      </c>
      <c r="T102" s="209">
        <f t="shared" si="95"/>
        <v>0</v>
      </c>
      <c r="U102" s="209">
        <f t="shared" si="95"/>
        <v>0</v>
      </c>
      <c r="V102" s="209">
        <f t="shared" si="95"/>
        <v>0</v>
      </c>
      <c r="W102" s="312">
        <f t="shared" si="95"/>
        <v>0</v>
      </c>
      <c r="X102" s="209">
        <f>IFERROR(IF(X89&gt;=X86,ROUND((X86+X98-X89)/Y99,0),"-"),0)</f>
        <v>0</v>
      </c>
      <c r="Y102" s="197"/>
    </row>
    <row r="110" spans="2:25" ht="30.6" customHeight="1"/>
    <row r="111" spans="2:25" ht="30.6" customHeight="1"/>
  </sheetData>
  <mergeCells count="155">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ageMargins left="0.23622047244094491" right="0.23622047244094491" top="0.74803149606299213" bottom="0.74803149606299213" header="0.31496062992125984" footer="0.31496062992125984"/>
  <pageSetup paperSize="9" scale="35" orientation="portrait" r:id="rId1"/>
  <rowBreaks count="1" manualBreakCount="1">
    <brk id="51" max="16383" man="1"/>
  </rowBreaks>
  <colBreaks count="1" manualBreakCount="1">
    <brk id="25" min="2" max="101"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2:N35"/>
  <sheetViews>
    <sheetView showGridLines="0" workbookViewId="0"/>
  </sheetViews>
  <sheetFormatPr defaultRowHeight="13.5"/>
  <cols>
    <col min="2" max="2" width="17.2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454</v>
      </c>
      <c r="C2" t="s">
        <v>771</v>
      </c>
    </row>
    <row r="3" spans="2:14" ht="15.75" customHeight="1">
      <c r="B3" s="1399" t="s">
        <v>23</v>
      </c>
      <c r="C3" s="1400"/>
      <c r="D3" s="1400"/>
      <c r="E3" s="1400"/>
      <c r="F3" s="468" t="s">
        <v>24</v>
      </c>
      <c r="G3" s="231" t="s">
        <v>37</v>
      </c>
      <c r="H3" s="232" t="s">
        <v>25</v>
      </c>
      <c r="J3" s="234" t="s">
        <v>448</v>
      </c>
      <c r="K3" s="235"/>
      <c r="L3" s="235"/>
      <c r="M3" s="235"/>
      <c r="N3" s="236"/>
    </row>
    <row r="4" spans="2:14" ht="15" customHeight="1">
      <c r="B4" s="1401" t="s">
        <v>177</v>
      </c>
      <c r="C4" s="1403" t="s">
        <v>173</v>
      </c>
      <c r="D4" s="469" t="str">
        <f>⑤基本情報入力!L13</f>
        <v>濃縮汚泥</v>
      </c>
      <c r="E4" s="1404" t="s">
        <v>174</v>
      </c>
      <c r="F4" s="1405" t="s">
        <v>1</v>
      </c>
      <c r="G4" s="55">
        <f>+ROUNDUP('物質収支（いしかわモデル）'!I59,0)*H4</f>
        <v>0</v>
      </c>
      <c r="H4" s="445">
        <v>2</v>
      </c>
      <c r="J4" s="237" t="s">
        <v>449</v>
      </c>
      <c r="K4" s="238"/>
      <c r="L4" s="238"/>
      <c r="M4" s="238"/>
      <c r="N4" s="239"/>
    </row>
    <row r="5" spans="2:14">
      <c r="B5" s="1401"/>
      <c r="C5" s="1403"/>
      <c r="D5" s="469" t="str">
        <f>'物質収支（いしかわモデル）'!P57&amp;"・"&amp;'物質収支（いしかわモデル）'!Q57</f>
        <v>し尿・浄化槽汚泥</v>
      </c>
      <c r="E5" s="1404"/>
      <c r="F5" s="1405"/>
      <c r="G5" s="55">
        <f>ROUNDUP(('物質収支（いしかわモデル）'!P59+'物質収支（いしかわモデル）'!Q59)*H5,0)</f>
        <v>0</v>
      </c>
      <c r="H5" s="445">
        <v>1</v>
      </c>
      <c r="J5" s="240" t="s">
        <v>181</v>
      </c>
      <c r="K5" s="238" t="s">
        <v>580</v>
      </c>
      <c r="L5" s="238"/>
      <c r="M5" s="238"/>
      <c r="N5" s="239"/>
    </row>
    <row r="6" spans="2:14">
      <c r="B6" s="1401"/>
      <c r="C6" s="1403"/>
      <c r="D6" s="469" t="str">
        <f>'物質収支（いしかわモデル）'!R57</f>
        <v>集落排水汚泥</v>
      </c>
      <c r="E6" s="1404"/>
      <c r="F6" s="1405"/>
      <c r="G6" s="55">
        <f>+ROUNDUP('物質収支（いしかわモデル）'!R59,0)*H6</f>
        <v>0</v>
      </c>
      <c r="H6" s="445">
        <v>2</v>
      </c>
      <c r="J6" s="241" t="s">
        <v>581</v>
      </c>
      <c r="K6" s="238" t="s">
        <v>198</v>
      </c>
      <c r="L6" s="238"/>
      <c r="M6" s="238"/>
      <c r="N6" s="239"/>
    </row>
    <row r="7" spans="2:14">
      <c r="B7" s="1401"/>
      <c r="C7" s="1403"/>
      <c r="D7" s="469" t="str">
        <f>+'物質収支（いしかわモデル）'!S57</f>
        <v>生ごみ</v>
      </c>
      <c r="E7" s="1404"/>
      <c r="F7" s="1405"/>
      <c r="G7" s="55">
        <f>+ROUNDUP('物質収支（いしかわモデル）'!S59,0)*H7</f>
        <v>0</v>
      </c>
      <c r="H7" s="445">
        <v>2</v>
      </c>
      <c r="J7" s="241"/>
      <c r="K7" s="1397" t="s">
        <v>582</v>
      </c>
      <c r="L7" s="1397"/>
      <c r="M7" s="1397"/>
      <c r="N7" s="1398"/>
    </row>
    <row r="8" spans="2:14">
      <c r="B8" s="1401"/>
      <c r="C8" s="1403"/>
      <c r="D8" s="469">
        <f>+'物質収支（いしかわモデル）'!T57</f>
        <v>0</v>
      </c>
      <c r="E8" s="1404"/>
      <c r="F8" s="1405"/>
      <c r="G8" s="55">
        <f>+ROUNDUP('物質収支（いしかわモデル）'!T59,0)*H8</f>
        <v>0</v>
      </c>
      <c r="H8" s="445">
        <v>2</v>
      </c>
      <c r="J8" s="241"/>
      <c r="K8" s="1397"/>
      <c r="L8" s="1397"/>
      <c r="M8" s="1397"/>
      <c r="N8" s="1398"/>
    </row>
    <row r="9" spans="2:14">
      <c r="B9" s="1401"/>
      <c r="C9" s="1403"/>
      <c r="D9" s="469">
        <f>+'物質収支（いしかわモデル）'!U57</f>
        <v>0</v>
      </c>
      <c r="E9" s="1404"/>
      <c r="F9" s="1405"/>
      <c r="G9" s="55">
        <f>+ROUNDUP('物質収支（いしかわモデル）'!U59,0)*H9</f>
        <v>0</v>
      </c>
      <c r="H9" s="445">
        <v>2</v>
      </c>
      <c r="J9" s="241"/>
      <c r="K9" s="1397"/>
      <c r="L9" s="1397"/>
      <c r="M9" s="1397"/>
      <c r="N9" s="1398"/>
    </row>
    <row r="10" spans="2:14">
      <c r="B10" s="1401"/>
      <c r="C10" s="1403"/>
      <c r="D10" s="469">
        <f>+'物質収支（いしかわモデル）'!V57</f>
        <v>0</v>
      </c>
      <c r="E10" s="1404"/>
      <c r="F10" s="1405"/>
      <c r="G10" s="55">
        <f>+ROUNDUP('物質収支（いしかわモデル）'!V59,0)*H10</f>
        <v>0</v>
      </c>
      <c r="H10" s="445">
        <v>2</v>
      </c>
      <c r="J10" s="241"/>
      <c r="K10" s="1397"/>
      <c r="L10" s="1397"/>
      <c r="M10" s="1397"/>
      <c r="N10" s="1398"/>
    </row>
    <row r="11" spans="2:14" ht="15.75">
      <c r="B11" s="1401"/>
      <c r="C11" s="1403" t="s">
        <v>175</v>
      </c>
      <c r="D11" s="1403"/>
      <c r="E11" s="470" t="s">
        <v>176</v>
      </c>
      <c r="F11" s="471" t="s">
        <v>1</v>
      </c>
      <c r="G11" s="55">
        <f>ROUNDUP('計算条件（いしかわモデル）'!G86,-1)</f>
        <v>0</v>
      </c>
      <c r="H11" s="446"/>
      <c r="J11" s="241"/>
      <c r="K11" s="238"/>
      <c r="L11" s="238"/>
      <c r="M11" s="238"/>
      <c r="N11" s="239"/>
    </row>
    <row r="12" spans="2:14" ht="15.75">
      <c r="B12" s="1401"/>
      <c r="C12" s="1406" t="s">
        <v>178</v>
      </c>
      <c r="D12" s="1403" t="s">
        <v>32</v>
      </c>
      <c r="E12" s="470" t="s">
        <v>28</v>
      </c>
      <c r="F12" s="323" t="s">
        <v>492</v>
      </c>
      <c r="G12" s="324" t="e">
        <f>+'物質収支（いしかわモデル）'!X13/ROUNDUP('計算条件（いしかわモデル）'!G86*25,-1)*1000</f>
        <v>#DIV/0!</v>
      </c>
      <c r="H12" s="447" t="s">
        <v>493</v>
      </c>
      <c r="J12" s="241"/>
      <c r="K12" s="238"/>
      <c r="L12" s="238"/>
      <c r="M12" s="238"/>
      <c r="N12" s="239"/>
    </row>
    <row r="13" spans="2:14" ht="15.75">
      <c r="B13" s="1401"/>
      <c r="C13" s="1406"/>
      <c r="D13" s="1403"/>
      <c r="E13" s="470" t="s">
        <v>34</v>
      </c>
      <c r="F13" s="471"/>
      <c r="G13" s="327" t="e">
        <f>+IF(G12&lt;=3.5,"O.K","能力不足")</f>
        <v>#DIV/0!</v>
      </c>
      <c r="H13" s="447"/>
      <c r="J13" s="237" t="s">
        <v>450</v>
      </c>
      <c r="K13" s="238"/>
      <c r="L13" s="238"/>
      <c r="M13" s="238"/>
      <c r="N13" s="239"/>
    </row>
    <row r="14" spans="2:14" ht="15.75">
      <c r="B14" s="1401"/>
      <c r="C14" s="1406"/>
      <c r="D14" s="1403"/>
      <c r="E14" s="470" t="s">
        <v>179</v>
      </c>
      <c r="F14" s="471" t="s">
        <v>1</v>
      </c>
      <c r="G14" s="328" t="e">
        <f>+IF(G13="O.K",ROUNDUP('計算条件（いしかわモデル）'!G86*25,-1),'物質収支（いしかわモデル）'!X13*1000/3.5)</f>
        <v>#DIV/0!</v>
      </c>
      <c r="H14" s="447" t="s">
        <v>200</v>
      </c>
      <c r="J14" s="241"/>
      <c r="K14" s="238"/>
      <c r="L14" s="238"/>
      <c r="M14" s="238"/>
      <c r="N14" s="239"/>
    </row>
    <row r="15" spans="2:14" ht="15.75">
      <c r="B15" s="1401"/>
      <c r="C15" s="1406"/>
      <c r="D15" s="1406" t="s">
        <v>31</v>
      </c>
      <c r="E15" s="470" t="s">
        <v>33</v>
      </c>
      <c r="F15" s="471" t="s">
        <v>36</v>
      </c>
      <c r="G15" s="324" t="e">
        <f>ROUND(G14/'物質収支（いしかわモデル）'!X10,2)</f>
        <v>#DIV/0!</v>
      </c>
      <c r="H15" s="447" t="s">
        <v>99</v>
      </c>
      <c r="J15" s="237" t="s">
        <v>453</v>
      </c>
      <c r="K15" s="238"/>
      <c r="L15" s="238"/>
      <c r="M15" s="238"/>
      <c r="N15" s="239"/>
    </row>
    <row r="16" spans="2:14">
      <c r="B16" s="1401"/>
      <c r="C16" s="1406"/>
      <c r="D16" s="1406"/>
      <c r="E16" s="470" t="s">
        <v>34</v>
      </c>
      <c r="F16" s="471"/>
      <c r="G16" s="327" t="e">
        <f>+IF(G15&lt;H16,"能力不足","O.K")</f>
        <v>#DIV/0!</v>
      </c>
      <c r="H16" s="448">
        <v>25</v>
      </c>
      <c r="J16" s="240" t="s">
        <v>182</v>
      </c>
      <c r="K16" s="238" t="s">
        <v>183</v>
      </c>
      <c r="L16" s="238"/>
      <c r="M16" s="238"/>
      <c r="N16" s="239"/>
    </row>
    <row r="17" spans="2:14" ht="15.75">
      <c r="B17" s="1401"/>
      <c r="C17" s="1404" t="s">
        <v>167</v>
      </c>
      <c r="D17" s="1404"/>
      <c r="E17" s="470" t="s">
        <v>171</v>
      </c>
      <c r="F17" s="471" t="s">
        <v>1</v>
      </c>
      <c r="G17" s="56">
        <f>+ROUNDUP('物質収支（いしかわモデル）'!X33/2,-1)</f>
        <v>0</v>
      </c>
      <c r="H17" s="447"/>
      <c r="J17" s="241"/>
      <c r="K17" s="238" t="s">
        <v>184</v>
      </c>
      <c r="L17" s="238"/>
      <c r="M17" s="238"/>
      <c r="N17" s="239"/>
    </row>
    <row r="18" spans="2:14" ht="15.75">
      <c r="B18" s="1401"/>
      <c r="C18" s="1404" t="s">
        <v>155</v>
      </c>
      <c r="D18" s="1404"/>
      <c r="E18" s="470" t="s">
        <v>172</v>
      </c>
      <c r="F18" s="471" t="s">
        <v>189</v>
      </c>
      <c r="G18" s="57">
        <f>ROUNDUP('物質収支（いしかわモデル）'!X33/24,0)</f>
        <v>0</v>
      </c>
      <c r="H18" s="447"/>
      <c r="J18" s="241"/>
      <c r="K18" s="238" t="s">
        <v>185</v>
      </c>
      <c r="L18" s="238"/>
      <c r="M18" s="238"/>
      <c r="N18" s="239"/>
    </row>
    <row r="19" spans="2:14" ht="15.75">
      <c r="B19" s="1401"/>
      <c r="C19" s="1406" t="s">
        <v>30</v>
      </c>
      <c r="D19" s="1403" t="s">
        <v>187</v>
      </c>
      <c r="E19" s="470" t="s">
        <v>186</v>
      </c>
      <c r="F19" s="471" t="s">
        <v>190</v>
      </c>
      <c r="G19" s="324">
        <f>+⑤基本情報入力!AD86</f>
        <v>0</v>
      </c>
      <c r="H19" s="448"/>
      <c r="J19" s="241"/>
      <c r="K19" s="238"/>
      <c r="L19" s="238"/>
      <c r="M19" s="238"/>
      <c r="N19" s="239"/>
    </row>
    <row r="20" spans="2:14" ht="15.75">
      <c r="B20" s="1401"/>
      <c r="C20" s="1406"/>
      <c r="D20" s="1403"/>
      <c r="E20" s="470" t="s">
        <v>34</v>
      </c>
      <c r="F20" s="471" t="s">
        <v>464</v>
      </c>
      <c r="G20" s="327" t="str">
        <f>+IF('物質収支（いしかわモデル）'!X32&lt;G19,"O.K","能力不足")</f>
        <v>能力不足</v>
      </c>
      <c r="H20" s="449"/>
      <c r="J20" s="237" t="s">
        <v>451</v>
      </c>
      <c r="K20" s="238"/>
      <c r="L20" s="238"/>
      <c r="M20" s="238"/>
      <c r="N20" s="239"/>
    </row>
    <row r="21" spans="2:14" ht="15.75">
      <c r="B21" s="1401"/>
      <c r="C21" s="1406"/>
      <c r="D21" s="1403"/>
      <c r="E21" s="470" t="s">
        <v>188</v>
      </c>
      <c r="F21" s="471" t="s">
        <v>191</v>
      </c>
      <c r="G21" s="327">
        <f>IF(G20="O.K",0,ROUNDUP('物質収支（いしかわモデル）'!X32-'施設規模の設定（いしかわモデル）'!G19,1))</f>
        <v>0</v>
      </c>
      <c r="H21" s="449"/>
      <c r="J21" s="237" t="s">
        <v>452</v>
      </c>
      <c r="K21" s="238"/>
      <c r="L21" s="238"/>
      <c r="M21" s="238"/>
      <c r="N21" s="239"/>
    </row>
    <row r="22" spans="2:14">
      <c r="B22" s="1401"/>
      <c r="C22" s="1404" t="s">
        <v>156</v>
      </c>
      <c r="D22" s="1404"/>
      <c r="E22" s="469" t="s">
        <v>172</v>
      </c>
      <c r="F22" s="471" t="s">
        <v>0</v>
      </c>
      <c r="G22" s="324">
        <f>'物質収支（いしかわモデル）'!X41</f>
        <v>0</v>
      </c>
      <c r="H22" s="450"/>
      <c r="J22" s="241"/>
      <c r="K22" s="238"/>
      <c r="L22" s="238"/>
      <c r="M22" s="238"/>
      <c r="N22" s="239"/>
    </row>
    <row r="23" spans="2:14" ht="16.5" thickBot="1">
      <c r="B23" s="1402"/>
      <c r="C23" s="472" t="s">
        <v>522</v>
      </c>
      <c r="D23" s="472" t="s">
        <v>531</v>
      </c>
      <c r="E23" s="472" t="s">
        <v>172</v>
      </c>
      <c r="F23" s="472" t="s">
        <v>527</v>
      </c>
      <c r="G23" s="456">
        <f>'計算条件（いしかわモデル）'!G7+'計算条件（いしかわモデル）'!G13+'計算条件（いしかわモデル）'!G19+'計算条件（いしかわモデル）'!G25+'計算条件（いしかわモデル）'!G31+'計算条件（いしかわモデル）'!G37+'計算条件（いしかわモデル）'!G43</f>
        <v>0</v>
      </c>
      <c r="H23" s="457" t="s">
        <v>526</v>
      </c>
      <c r="J23" s="242"/>
      <c r="K23" s="243"/>
      <c r="L23" s="243"/>
      <c r="M23" s="243"/>
      <c r="N23" s="244"/>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5">
    <mergeCell ref="K7:N10"/>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ageMargins left="0.25" right="0.25" top="0.75" bottom="0.75" header="0.3" footer="0.3"/>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2:I90"/>
  <sheetViews>
    <sheetView showGridLines="0" workbookViewId="0"/>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455</v>
      </c>
      <c r="D2" t="s">
        <v>771</v>
      </c>
    </row>
    <row r="3" spans="2:9" ht="14.25" thickBot="1">
      <c r="B3" s="245"/>
      <c r="C3" s="220" t="s">
        <v>275</v>
      </c>
      <c r="D3" s="221" t="s">
        <v>158</v>
      </c>
      <c r="E3" s="221" t="s">
        <v>23</v>
      </c>
      <c r="F3" s="221" t="s">
        <v>24</v>
      </c>
      <c r="G3" s="67" t="s">
        <v>152</v>
      </c>
      <c r="H3" s="67" t="s">
        <v>153</v>
      </c>
      <c r="I3" s="68" t="s">
        <v>25</v>
      </c>
    </row>
    <row r="4" spans="2:9" ht="15.75">
      <c r="B4" s="1380" t="s">
        <v>154</v>
      </c>
      <c r="C4" s="1383">
        <f>+⑤基本情報入力!L12</f>
        <v>0</v>
      </c>
      <c r="D4" s="1385" t="str">
        <f>+⑤基本情報入力!L13</f>
        <v>濃縮汚泥</v>
      </c>
      <c r="E4" s="246" t="s">
        <v>333</v>
      </c>
      <c r="F4" s="246" t="s">
        <v>2</v>
      </c>
      <c r="G4" s="247">
        <f>ROUND(+'物質収支（いしかわモデル）'!I8,2)</f>
        <v>0</v>
      </c>
      <c r="H4" s="247">
        <f>ROUND(+'物質収支（いしかわモデル）'!I59,2)</f>
        <v>0</v>
      </c>
      <c r="I4" s="248"/>
    </row>
    <row r="5" spans="2:9" ht="15.75">
      <c r="B5" s="1381"/>
      <c r="C5" s="1384"/>
      <c r="D5" s="1385"/>
      <c r="E5" s="249" t="s">
        <v>334</v>
      </c>
      <c r="F5" s="249" t="s">
        <v>220</v>
      </c>
      <c r="G5" s="250">
        <f>G4*365</f>
        <v>0</v>
      </c>
      <c r="H5" s="250">
        <f>H4*365</f>
        <v>0</v>
      </c>
      <c r="I5" s="233"/>
    </row>
    <row r="6" spans="2:9">
      <c r="B6" s="1381"/>
      <c r="C6" s="1384"/>
      <c r="D6" s="1385"/>
      <c r="E6" s="249" t="s">
        <v>44</v>
      </c>
      <c r="F6" s="249" t="s">
        <v>21</v>
      </c>
      <c r="G6" s="250">
        <f>ROUND((100-'物質収支（いしかわモデル）'!I15),2)</f>
        <v>100</v>
      </c>
      <c r="H6" s="250">
        <f>ROUND((100-'物質収支（いしかわモデル）'!I66),2)</f>
        <v>100</v>
      </c>
      <c r="I6" s="233"/>
    </row>
    <row r="7" spans="2:9" ht="15.75">
      <c r="B7" s="1381"/>
      <c r="C7" s="1384"/>
      <c r="D7" s="1385"/>
      <c r="E7" s="249" t="s">
        <v>45</v>
      </c>
      <c r="F7" s="249" t="s">
        <v>2</v>
      </c>
      <c r="G7" s="250">
        <f>ROUND(+(100-G6)*G4,2)</f>
        <v>0</v>
      </c>
      <c r="H7" s="250">
        <f>ROUND(+(100-H6)*H4,2)</f>
        <v>0</v>
      </c>
      <c r="I7" s="233"/>
    </row>
    <row r="8" spans="2:9">
      <c r="B8" s="1381"/>
      <c r="C8" s="1384"/>
      <c r="D8" s="1385"/>
      <c r="E8" s="249" t="s">
        <v>92</v>
      </c>
      <c r="F8" s="249" t="s">
        <v>27</v>
      </c>
      <c r="G8" s="250">
        <f>ROUND(+'物質収支（いしかわモデル）'!I16,2)</f>
        <v>0</v>
      </c>
      <c r="H8" s="250">
        <f>ROUND(+'物質収支（いしかわモデル）'!I67,2)</f>
        <v>0</v>
      </c>
      <c r="I8" s="233"/>
    </row>
    <row r="9" spans="2:9" ht="16.5" thickBot="1">
      <c r="B9" s="1381"/>
      <c r="C9" s="1384"/>
      <c r="D9" s="1386"/>
      <c r="E9" s="251" t="s">
        <v>94</v>
      </c>
      <c r="F9" s="251" t="s">
        <v>26</v>
      </c>
      <c r="G9" s="252">
        <f>ROUND(+'物質収支（いしかわモデル）'!I18,2)</f>
        <v>0</v>
      </c>
      <c r="H9" s="252">
        <f>ROUND(+'物質収支（いしかわモデル）'!I69,2)</f>
        <v>0</v>
      </c>
      <c r="I9" s="253"/>
    </row>
    <row r="10" spans="2:9" ht="15.75">
      <c r="B10" s="1381"/>
      <c r="C10" s="1383">
        <f>+⑤基本情報入力!V12</f>
        <v>0</v>
      </c>
      <c r="D10" s="1385">
        <f>+⑤基本情報入力!V13</f>
        <v>0</v>
      </c>
      <c r="E10" s="246" t="s">
        <v>333</v>
      </c>
      <c r="F10" s="246" t="s">
        <v>2</v>
      </c>
      <c r="G10" s="247">
        <f>ROUND(+'物質収支（いしかわモデル）'!J8,2)</f>
        <v>0</v>
      </c>
      <c r="H10" s="247">
        <f>ROUND(+'物質収支（いしかわモデル）'!J59,2)</f>
        <v>0</v>
      </c>
      <c r="I10" s="248"/>
    </row>
    <row r="11" spans="2:9" ht="15.75">
      <c r="B11" s="1381"/>
      <c r="C11" s="1384"/>
      <c r="D11" s="1385"/>
      <c r="E11" s="249" t="s">
        <v>334</v>
      </c>
      <c r="F11" s="249" t="s">
        <v>220</v>
      </c>
      <c r="G11" s="250">
        <f>G10*365</f>
        <v>0</v>
      </c>
      <c r="H11" s="250">
        <f>H10*365</f>
        <v>0</v>
      </c>
      <c r="I11" s="233"/>
    </row>
    <row r="12" spans="2:9">
      <c r="B12" s="1381"/>
      <c r="C12" s="1384"/>
      <c r="D12" s="1385"/>
      <c r="E12" s="249" t="s">
        <v>44</v>
      </c>
      <c r="F12" s="249" t="s">
        <v>21</v>
      </c>
      <c r="G12" s="250">
        <f>ROUND((100-'物質収支（いしかわモデル）'!J15),2)</f>
        <v>100</v>
      </c>
      <c r="H12" s="250">
        <f>ROUND((100-'物質収支（いしかわモデル）'!J66),2)</f>
        <v>100</v>
      </c>
      <c r="I12" s="233"/>
    </row>
    <row r="13" spans="2:9" ht="15.75">
      <c r="B13" s="1381"/>
      <c r="C13" s="1384"/>
      <c r="D13" s="1385"/>
      <c r="E13" s="249" t="s">
        <v>45</v>
      </c>
      <c r="F13" s="249" t="s">
        <v>2</v>
      </c>
      <c r="G13" s="250">
        <f>ROUND(+(100-G12)*G10,2)</f>
        <v>0</v>
      </c>
      <c r="H13" s="250">
        <f>ROUND(+(100-H12)*H10,2)</f>
        <v>0</v>
      </c>
      <c r="I13" s="233"/>
    </row>
    <row r="14" spans="2:9">
      <c r="B14" s="1381"/>
      <c r="C14" s="1384"/>
      <c r="D14" s="1385"/>
      <c r="E14" s="249" t="s">
        <v>92</v>
      </c>
      <c r="F14" s="249" t="s">
        <v>27</v>
      </c>
      <c r="G14" s="250">
        <f>ROUND(+'物質収支（いしかわモデル）'!J16,2)</f>
        <v>0</v>
      </c>
      <c r="H14" s="250">
        <f>ROUND(+'物質収支（いしかわモデル）'!J67,2)</f>
        <v>0</v>
      </c>
      <c r="I14" s="233"/>
    </row>
    <row r="15" spans="2:9" ht="16.5" thickBot="1">
      <c r="B15" s="1381"/>
      <c r="C15" s="1384"/>
      <c r="D15" s="1386"/>
      <c r="E15" s="251" t="s">
        <v>94</v>
      </c>
      <c r="F15" s="251" t="s">
        <v>26</v>
      </c>
      <c r="G15" s="252">
        <f>ROUND(+'物質収支（いしかわモデル）'!J18,2)</f>
        <v>0</v>
      </c>
      <c r="H15" s="252">
        <f>ROUND(+'物質収支（いしかわモデル）'!J69,2)</f>
        <v>0</v>
      </c>
      <c r="I15" s="253"/>
    </row>
    <row r="16" spans="2:9" ht="15.75">
      <c r="B16" s="1381"/>
      <c r="C16" s="1383">
        <f>+⑤基本情報入力!AA12</f>
        <v>0</v>
      </c>
      <c r="D16" s="1385">
        <f>+⑤基本情報入力!AA13</f>
        <v>0</v>
      </c>
      <c r="E16" s="246" t="s">
        <v>333</v>
      </c>
      <c r="F16" s="246" t="s">
        <v>2</v>
      </c>
      <c r="G16" s="247">
        <f>ROUND(+'物質収支（いしかわモデル）'!K8,2)</f>
        <v>0</v>
      </c>
      <c r="H16" s="247">
        <f>ROUND(+'物質収支（いしかわモデル）'!K59,2)</f>
        <v>0</v>
      </c>
      <c r="I16" s="248"/>
    </row>
    <row r="17" spans="2:9" ht="15.75">
      <c r="B17" s="1381"/>
      <c r="C17" s="1384"/>
      <c r="D17" s="1385"/>
      <c r="E17" s="249" t="s">
        <v>334</v>
      </c>
      <c r="F17" s="249" t="s">
        <v>220</v>
      </c>
      <c r="G17" s="250">
        <f>G16*365</f>
        <v>0</v>
      </c>
      <c r="H17" s="250">
        <f>H16*365</f>
        <v>0</v>
      </c>
      <c r="I17" s="233"/>
    </row>
    <row r="18" spans="2:9">
      <c r="B18" s="1381"/>
      <c r="C18" s="1384"/>
      <c r="D18" s="1385"/>
      <c r="E18" s="249" t="s">
        <v>44</v>
      </c>
      <c r="F18" s="249" t="s">
        <v>21</v>
      </c>
      <c r="G18" s="250">
        <f>ROUND((100-'物質収支（いしかわモデル）'!K15),2)</f>
        <v>100</v>
      </c>
      <c r="H18" s="250">
        <f>ROUND((100-'物質収支（いしかわモデル）'!K66),2)</f>
        <v>100</v>
      </c>
      <c r="I18" s="233"/>
    </row>
    <row r="19" spans="2:9" ht="15.75">
      <c r="B19" s="1381"/>
      <c r="C19" s="1384"/>
      <c r="D19" s="1385"/>
      <c r="E19" s="249" t="s">
        <v>45</v>
      </c>
      <c r="F19" s="249" t="s">
        <v>2</v>
      </c>
      <c r="G19" s="250">
        <f>ROUND(+(100-G18)*G16,2)</f>
        <v>0</v>
      </c>
      <c r="H19" s="250">
        <f>ROUND(+(100-H18)*H16,2)</f>
        <v>0</v>
      </c>
      <c r="I19" s="233"/>
    </row>
    <row r="20" spans="2:9">
      <c r="B20" s="1381"/>
      <c r="C20" s="1384"/>
      <c r="D20" s="1385"/>
      <c r="E20" s="249" t="s">
        <v>92</v>
      </c>
      <c r="F20" s="249" t="s">
        <v>27</v>
      </c>
      <c r="G20" s="250">
        <f>ROUND(+'物質収支（いしかわモデル）'!K16,2)</f>
        <v>0</v>
      </c>
      <c r="H20" s="250">
        <f>ROUND(+'物質収支（いしかわモデル）'!K67,2)</f>
        <v>0</v>
      </c>
      <c r="I20" s="233"/>
    </row>
    <row r="21" spans="2:9" ht="16.5" thickBot="1">
      <c r="B21" s="1381"/>
      <c r="C21" s="1384"/>
      <c r="D21" s="1386"/>
      <c r="E21" s="251" t="s">
        <v>94</v>
      </c>
      <c r="F21" s="251" t="s">
        <v>26</v>
      </c>
      <c r="G21" s="252">
        <f>ROUND(+'物質収支（いしかわモデル）'!K18,2)</f>
        <v>0</v>
      </c>
      <c r="H21" s="252">
        <f>ROUND(+'物質収支（いしかわモデル）'!K69,2)</f>
        <v>0</v>
      </c>
      <c r="I21" s="253"/>
    </row>
    <row r="22" spans="2:9" ht="15.75">
      <c r="B22" s="1381"/>
      <c r="C22" s="1383">
        <f>+⑤基本情報入力!AF12</f>
        <v>0</v>
      </c>
      <c r="D22" s="1385">
        <f>+⑤基本情報入力!AF13</f>
        <v>0</v>
      </c>
      <c r="E22" s="246" t="s">
        <v>333</v>
      </c>
      <c r="F22" s="246" t="s">
        <v>2</v>
      </c>
      <c r="G22" s="247">
        <f>ROUND(+'物質収支（いしかわモデル）'!L8,2)</f>
        <v>0</v>
      </c>
      <c r="H22" s="247">
        <f>ROUND(+'物質収支（いしかわモデル）'!L59,2)</f>
        <v>0</v>
      </c>
      <c r="I22" s="248"/>
    </row>
    <row r="23" spans="2:9" ht="15.75">
      <c r="B23" s="1381"/>
      <c r="C23" s="1384"/>
      <c r="D23" s="1385"/>
      <c r="E23" s="249" t="s">
        <v>334</v>
      </c>
      <c r="F23" s="249" t="s">
        <v>220</v>
      </c>
      <c r="G23" s="250">
        <f>G22*365</f>
        <v>0</v>
      </c>
      <c r="H23" s="250">
        <f>H22*365</f>
        <v>0</v>
      </c>
      <c r="I23" s="233"/>
    </row>
    <row r="24" spans="2:9">
      <c r="B24" s="1381"/>
      <c r="C24" s="1384"/>
      <c r="D24" s="1385"/>
      <c r="E24" s="249" t="s">
        <v>44</v>
      </c>
      <c r="F24" s="249" t="s">
        <v>21</v>
      </c>
      <c r="G24" s="250">
        <f>ROUND((100-'物質収支（いしかわモデル）'!L15),2)</f>
        <v>100</v>
      </c>
      <c r="H24" s="250">
        <f>ROUND((100-'物質収支（いしかわモデル）'!L66),2)</f>
        <v>100</v>
      </c>
      <c r="I24" s="233"/>
    </row>
    <row r="25" spans="2:9" ht="15.75">
      <c r="B25" s="1381"/>
      <c r="C25" s="1384"/>
      <c r="D25" s="1385"/>
      <c r="E25" s="249" t="s">
        <v>45</v>
      </c>
      <c r="F25" s="249" t="s">
        <v>2</v>
      </c>
      <c r="G25" s="250">
        <f>ROUND(+(100-G24)*G22,2)</f>
        <v>0</v>
      </c>
      <c r="H25" s="250">
        <f>ROUND(+(100-H24)*H22,2)</f>
        <v>0</v>
      </c>
      <c r="I25" s="233"/>
    </row>
    <row r="26" spans="2:9">
      <c r="B26" s="1381"/>
      <c r="C26" s="1384"/>
      <c r="D26" s="1385"/>
      <c r="E26" s="249" t="s">
        <v>92</v>
      </c>
      <c r="F26" s="249" t="s">
        <v>27</v>
      </c>
      <c r="G26" s="250">
        <f>ROUND(+'物質収支（いしかわモデル）'!L16,2)</f>
        <v>0</v>
      </c>
      <c r="H26" s="250">
        <f>ROUND(+'物質収支（いしかわモデル）'!L67,2)</f>
        <v>0</v>
      </c>
      <c r="I26" s="233"/>
    </row>
    <row r="27" spans="2:9" ht="16.5" thickBot="1">
      <c r="B27" s="1381"/>
      <c r="C27" s="1384"/>
      <c r="D27" s="1386"/>
      <c r="E27" s="251" t="s">
        <v>94</v>
      </c>
      <c r="F27" s="251" t="s">
        <v>26</v>
      </c>
      <c r="G27" s="252">
        <f>ROUND(+'物質収支（いしかわモデル）'!L18,2)</f>
        <v>0</v>
      </c>
      <c r="H27" s="252">
        <f>ROUND(+'物質収支（いしかわモデル）'!L69,2)</f>
        <v>0</v>
      </c>
      <c r="I27" s="253"/>
    </row>
    <row r="28" spans="2:9" ht="15.75">
      <c r="B28" s="1381"/>
      <c r="C28" s="1383">
        <f>+⑤基本情報入力!AK12</f>
        <v>0</v>
      </c>
      <c r="D28" s="1385">
        <f>+⑤基本情報入力!AK13</f>
        <v>0</v>
      </c>
      <c r="E28" s="246" t="s">
        <v>333</v>
      </c>
      <c r="F28" s="246" t="s">
        <v>2</v>
      </c>
      <c r="G28" s="247">
        <f>ROUND(+'物質収支（いしかわモデル）'!M8,2)</f>
        <v>0</v>
      </c>
      <c r="H28" s="247">
        <f>ROUND(+'物質収支（いしかわモデル）'!M59,2)</f>
        <v>0</v>
      </c>
      <c r="I28" s="248"/>
    </row>
    <row r="29" spans="2:9" ht="15.75">
      <c r="B29" s="1381"/>
      <c r="C29" s="1384"/>
      <c r="D29" s="1385"/>
      <c r="E29" s="249" t="s">
        <v>334</v>
      </c>
      <c r="F29" s="249" t="s">
        <v>220</v>
      </c>
      <c r="G29" s="250">
        <f>G28*365</f>
        <v>0</v>
      </c>
      <c r="H29" s="250">
        <f>H28*365</f>
        <v>0</v>
      </c>
      <c r="I29" s="233"/>
    </row>
    <row r="30" spans="2:9">
      <c r="B30" s="1381"/>
      <c r="C30" s="1384"/>
      <c r="D30" s="1385"/>
      <c r="E30" s="249" t="s">
        <v>44</v>
      </c>
      <c r="F30" s="249" t="s">
        <v>21</v>
      </c>
      <c r="G30" s="250">
        <f>ROUND((100-'物質収支（いしかわモデル）'!M15),2)</f>
        <v>100</v>
      </c>
      <c r="H30" s="250">
        <f>ROUND((100-'物質収支（いしかわモデル）'!M66),2)</f>
        <v>100</v>
      </c>
      <c r="I30" s="233"/>
    </row>
    <row r="31" spans="2:9" ht="15.75">
      <c r="B31" s="1381"/>
      <c r="C31" s="1384"/>
      <c r="D31" s="1385"/>
      <c r="E31" s="249" t="s">
        <v>45</v>
      </c>
      <c r="F31" s="249" t="s">
        <v>2</v>
      </c>
      <c r="G31" s="250">
        <f>ROUND(+(100-G30)*G28,2)</f>
        <v>0</v>
      </c>
      <c r="H31" s="250">
        <f>ROUND(+(100-H30)*H28,2)</f>
        <v>0</v>
      </c>
      <c r="I31" s="233"/>
    </row>
    <row r="32" spans="2:9">
      <c r="B32" s="1381"/>
      <c r="C32" s="1384"/>
      <c r="D32" s="1385"/>
      <c r="E32" s="249" t="s">
        <v>92</v>
      </c>
      <c r="F32" s="249" t="s">
        <v>27</v>
      </c>
      <c r="G32" s="250">
        <f>ROUND(+'物質収支（いしかわモデル）'!M16,2)</f>
        <v>0</v>
      </c>
      <c r="H32" s="250">
        <f>ROUND(+'物質収支（いしかわモデル）'!M67,2)</f>
        <v>0</v>
      </c>
      <c r="I32" s="233"/>
    </row>
    <row r="33" spans="2:9" ht="16.5" thickBot="1">
      <c r="B33" s="1381"/>
      <c r="C33" s="1384"/>
      <c r="D33" s="1386"/>
      <c r="E33" s="251" t="s">
        <v>94</v>
      </c>
      <c r="F33" s="251" t="s">
        <v>26</v>
      </c>
      <c r="G33" s="252">
        <f>ROUND(+'物質収支（いしかわモデル）'!M18,2)</f>
        <v>0</v>
      </c>
      <c r="H33" s="252">
        <f>ROUND(+'物質収支（いしかわモデル）'!M69,2)</f>
        <v>0</v>
      </c>
      <c r="I33" s="253"/>
    </row>
    <row r="34" spans="2:9" ht="15.75">
      <c r="B34" s="1381"/>
      <c r="C34" s="1383">
        <f>+⑤基本情報入力!AP12</f>
        <v>0</v>
      </c>
      <c r="D34" s="1385">
        <f>+⑤基本情報入力!AP13</f>
        <v>0</v>
      </c>
      <c r="E34" s="246" t="s">
        <v>333</v>
      </c>
      <c r="F34" s="246" t="s">
        <v>2</v>
      </c>
      <c r="G34" s="247">
        <f>ROUND(+'物質収支（いしかわモデル）'!N8,2)</f>
        <v>0</v>
      </c>
      <c r="H34" s="247">
        <f>ROUND(+'物質収支（いしかわモデル）'!N59,2)</f>
        <v>0</v>
      </c>
      <c r="I34" s="248"/>
    </row>
    <row r="35" spans="2:9" ht="15.75">
      <c r="B35" s="1381"/>
      <c r="C35" s="1384"/>
      <c r="D35" s="1385"/>
      <c r="E35" s="249" t="s">
        <v>334</v>
      </c>
      <c r="F35" s="249" t="s">
        <v>220</v>
      </c>
      <c r="G35" s="250">
        <f>G34*365</f>
        <v>0</v>
      </c>
      <c r="H35" s="250">
        <f>H34*365</f>
        <v>0</v>
      </c>
      <c r="I35" s="233"/>
    </row>
    <row r="36" spans="2:9">
      <c r="B36" s="1381"/>
      <c r="C36" s="1384"/>
      <c r="D36" s="1385"/>
      <c r="E36" s="249" t="s">
        <v>44</v>
      </c>
      <c r="F36" s="249" t="s">
        <v>21</v>
      </c>
      <c r="G36" s="250">
        <f>ROUND((100-'物質収支（いしかわモデル）'!N15),2)</f>
        <v>100</v>
      </c>
      <c r="H36" s="250">
        <f>ROUND((100-'物質収支（いしかわモデル）'!N66),2)</f>
        <v>100</v>
      </c>
      <c r="I36" s="233"/>
    </row>
    <row r="37" spans="2:9" ht="15.75">
      <c r="B37" s="1381"/>
      <c r="C37" s="1384"/>
      <c r="D37" s="1385"/>
      <c r="E37" s="249" t="s">
        <v>45</v>
      </c>
      <c r="F37" s="249" t="s">
        <v>2</v>
      </c>
      <c r="G37" s="250">
        <f>ROUND(+(100-G36)*G34,2)</f>
        <v>0</v>
      </c>
      <c r="H37" s="250">
        <f>ROUND(+(100-H36)*H34,2)</f>
        <v>0</v>
      </c>
      <c r="I37" s="233"/>
    </row>
    <row r="38" spans="2:9">
      <c r="B38" s="1381"/>
      <c r="C38" s="1384"/>
      <c r="D38" s="1385"/>
      <c r="E38" s="249" t="s">
        <v>92</v>
      </c>
      <c r="F38" s="249" t="s">
        <v>27</v>
      </c>
      <c r="G38" s="250">
        <f>ROUND(+'物質収支（いしかわモデル）'!N16,2)</f>
        <v>0</v>
      </c>
      <c r="H38" s="250">
        <f>ROUND(+'物質収支（いしかわモデル）'!N67,2)</f>
        <v>0</v>
      </c>
      <c r="I38" s="233"/>
    </row>
    <row r="39" spans="2:9" ht="16.5" thickBot="1">
      <c r="B39" s="1381"/>
      <c r="C39" s="1387"/>
      <c r="D39" s="1386"/>
      <c r="E39" s="251" t="s">
        <v>94</v>
      </c>
      <c r="F39" s="251" t="s">
        <v>26</v>
      </c>
      <c r="G39" s="252">
        <f>ROUND(+'物質収支（いしかわモデル）'!N18,2)</f>
        <v>0</v>
      </c>
      <c r="H39" s="252">
        <f>ROUND(+'物質収支（いしかわモデル）'!N69,2)</f>
        <v>0</v>
      </c>
      <c r="I39" s="253"/>
    </row>
    <row r="40" spans="2:9" ht="15.75">
      <c r="B40" s="1381"/>
      <c r="C40" s="1383">
        <f>+⑤基本情報入力!AU12</f>
        <v>0</v>
      </c>
      <c r="D40" s="1385">
        <f>+⑤基本情報入力!AU13</f>
        <v>0</v>
      </c>
      <c r="E40" s="246" t="s">
        <v>333</v>
      </c>
      <c r="F40" s="246" t="s">
        <v>2</v>
      </c>
      <c r="G40" s="247">
        <f>ROUND(+'物質収支（いしかわモデル）'!O8,2)</f>
        <v>0</v>
      </c>
      <c r="H40" s="247">
        <f>ROUND(+'物質収支（いしかわモデル）'!O59,2)</f>
        <v>0</v>
      </c>
      <c r="I40" s="248"/>
    </row>
    <row r="41" spans="2:9" ht="15.75">
      <c r="B41" s="1381"/>
      <c r="C41" s="1384"/>
      <c r="D41" s="1385"/>
      <c r="E41" s="249" t="s">
        <v>334</v>
      </c>
      <c r="F41" s="249" t="s">
        <v>220</v>
      </c>
      <c r="G41" s="250">
        <f>G40*365</f>
        <v>0</v>
      </c>
      <c r="H41" s="250">
        <f>H40*365</f>
        <v>0</v>
      </c>
      <c r="I41" s="233"/>
    </row>
    <row r="42" spans="2:9">
      <c r="B42" s="1381"/>
      <c r="C42" s="1384"/>
      <c r="D42" s="1385"/>
      <c r="E42" s="249" t="s">
        <v>44</v>
      </c>
      <c r="F42" s="249" t="s">
        <v>21</v>
      </c>
      <c r="G42" s="250">
        <f>ROUND((100-'物質収支（いしかわモデル）'!O15),2)</f>
        <v>100</v>
      </c>
      <c r="H42" s="250">
        <f>ROUND((100-'物質収支（いしかわモデル）'!O66),2)</f>
        <v>100</v>
      </c>
      <c r="I42" s="233"/>
    </row>
    <row r="43" spans="2:9" ht="15.75">
      <c r="B43" s="1381"/>
      <c r="C43" s="1384"/>
      <c r="D43" s="1385"/>
      <c r="E43" s="249" t="s">
        <v>45</v>
      </c>
      <c r="F43" s="249" t="s">
        <v>2</v>
      </c>
      <c r="G43" s="250">
        <f>ROUND(+(100-G42)*G40,2)</f>
        <v>0</v>
      </c>
      <c r="H43" s="250">
        <f>ROUND(+(100-H42)*H40,2)</f>
        <v>0</v>
      </c>
      <c r="I43" s="233"/>
    </row>
    <row r="44" spans="2:9">
      <c r="B44" s="1381"/>
      <c r="C44" s="1384"/>
      <c r="D44" s="1385"/>
      <c r="E44" s="249" t="s">
        <v>92</v>
      </c>
      <c r="F44" s="249" t="s">
        <v>27</v>
      </c>
      <c r="G44" s="250">
        <f>ROUND(+'物質収支（いしかわモデル）'!O16,2)</f>
        <v>0</v>
      </c>
      <c r="H44" s="250">
        <f>ROUND(+'物質収支（いしかわモデル）'!O67,2)</f>
        <v>0</v>
      </c>
      <c r="I44" s="233"/>
    </row>
    <row r="45" spans="2:9" ht="16.5" thickBot="1">
      <c r="B45" s="1381"/>
      <c r="C45" s="1387"/>
      <c r="D45" s="1386"/>
      <c r="E45" s="251" t="s">
        <v>94</v>
      </c>
      <c r="F45" s="251" t="s">
        <v>26</v>
      </c>
      <c r="G45" s="252">
        <f>ROUND(+'物質収支（いしかわモデル）'!O18,2)</f>
        <v>0</v>
      </c>
      <c r="H45" s="252">
        <f>ROUND(+'物質収支（いしかわモデル）'!O69,2)</f>
        <v>0</v>
      </c>
      <c r="I45" s="253"/>
    </row>
    <row r="46" spans="2:9" ht="15.75">
      <c r="B46" s="1381"/>
      <c r="C46" s="1383">
        <f>+⑤基本情報入力!L29</f>
        <v>0</v>
      </c>
      <c r="D46" s="1388" t="str">
        <f>+⑤基本情報入力!L30</f>
        <v>し尿</v>
      </c>
      <c r="E46" s="246" t="s">
        <v>333</v>
      </c>
      <c r="F46" s="246" t="s">
        <v>2</v>
      </c>
      <c r="G46" s="247">
        <f>+ROUND('物質収支（いしかわモデル）'!P8,2)</f>
        <v>0</v>
      </c>
      <c r="H46" s="247">
        <f>+ROUND('物質収支（いしかわモデル）'!P59,2)</f>
        <v>0</v>
      </c>
      <c r="I46" s="248"/>
    </row>
    <row r="47" spans="2:9" ht="15.75">
      <c r="B47" s="1381"/>
      <c r="C47" s="1384"/>
      <c r="D47" s="1389"/>
      <c r="E47" s="249" t="s">
        <v>334</v>
      </c>
      <c r="F47" s="249" t="s">
        <v>220</v>
      </c>
      <c r="G47" s="250">
        <f>G46*365</f>
        <v>0</v>
      </c>
      <c r="H47" s="250">
        <f>H46*365</f>
        <v>0</v>
      </c>
      <c r="I47" s="233"/>
    </row>
    <row r="48" spans="2:9">
      <c r="B48" s="1381"/>
      <c r="C48" s="1384"/>
      <c r="D48" s="1130"/>
      <c r="E48" s="249" t="s">
        <v>42</v>
      </c>
      <c r="F48" s="249" t="s">
        <v>21</v>
      </c>
      <c r="G48" s="250">
        <f>+'物質収支（いしかわモデル）'!P15</f>
        <v>0</v>
      </c>
      <c r="H48" s="250">
        <f>+'物質収支（いしかわモデル）'!P66</f>
        <v>0</v>
      </c>
      <c r="I48" s="233"/>
    </row>
    <row r="49" spans="2:9">
      <c r="B49" s="1381"/>
      <c r="C49" s="1384"/>
      <c r="D49" s="1130"/>
      <c r="E49" s="249" t="s">
        <v>92</v>
      </c>
      <c r="F49" s="249" t="s">
        <v>27</v>
      </c>
      <c r="G49" s="250">
        <f>+'物質収支（いしかわモデル）'!P16</f>
        <v>0</v>
      </c>
      <c r="H49" s="250">
        <f>+'物質収支（いしかわモデル）'!P67</f>
        <v>0</v>
      </c>
      <c r="I49" s="233"/>
    </row>
    <row r="50" spans="2:9" ht="16.5" thickBot="1">
      <c r="B50" s="1381"/>
      <c r="C50" s="1387"/>
      <c r="D50" s="1390"/>
      <c r="E50" s="251" t="s">
        <v>94</v>
      </c>
      <c r="F50" s="251" t="s">
        <v>26</v>
      </c>
      <c r="G50" s="252">
        <f>+'物質収支（いしかわモデル）'!P18</f>
        <v>0</v>
      </c>
      <c r="H50" s="252">
        <f>+'物質収支（いしかわモデル）'!P69</f>
        <v>0</v>
      </c>
      <c r="I50" s="253"/>
    </row>
    <row r="51" spans="2:9" ht="15.75">
      <c r="B51" s="1381"/>
      <c r="C51" s="1383">
        <f>+⑤基本情報入力!Q29</f>
        <v>0</v>
      </c>
      <c r="D51" s="1388" t="str">
        <f>+⑤基本情報入力!Q30</f>
        <v>浄化槽汚泥</v>
      </c>
      <c r="E51" s="246" t="s">
        <v>333</v>
      </c>
      <c r="F51" s="246" t="s">
        <v>2</v>
      </c>
      <c r="G51" s="247">
        <f>ROUND('物質収支（いしかわモデル）'!Q8,2)</f>
        <v>0</v>
      </c>
      <c r="H51" s="247">
        <f>ROUND(+'物質収支（いしかわモデル）'!Q59,2)</f>
        <v>0</v>
      </c>
      <c r="I51" s="248"/>
    </row>
    <row r="52" spans="2:9" ht="15.75">
      <c r="B52" s="1381"/>
      <c r="C52" s="1384"/>
      <c r="D52" s="1389"/>
      <c r="E52" s="249" t="s">
        <v>334</v>
      </c>
      <c r="F52" s="249" t="s">
        <v>220</v>
      </c>
      <c r="G52" s="250">
        <f>G51*365</f>
        <v>0</v>
      </c>
      <c r="H52" s="250">
        <f>H51*365</f>
        <v>0</v>
      </c>
      <c r="I52" s="233"/>
    </row>
    <row r="53" spans="2:9">
      <c r="B53" s="1381"/>
      <c r="C53" s="1384"/>
      <c r="D53" s="1130"/>
      <c r="E53" s="249" t="s">
        <v>42</v>
      </c>
      <c r="F53" s="249" t="s">
        <v>21</v>
      </c>
      <c r="G53" s="250">
        <f>+'物質収支（いしかわモデル）'!Q15</f>
        <v>0</v>
      </c>
      <c r="H53" s="250">
        <f>+'物質収支（いしかわモデル）'!Q66</f>
        <v>0</v>
      </c>
      <c r="I53" s="233"/>
    </row>
    <row r="54" spans="2:9">
      <c r="B54" s="1381"/>
      <c r="C54" s="1384"/>
      <c r="D54" s="1130"/>
      <c r="E54" s="249" t="s">
        <v>92</v>
      </c>
      <c r="F54" s="249" t="s">
        <v>27</v>
      </c>
      <c r="G54" s="250">
        <f>+'物質収支（いしかわモデル）'!Q16</f>
        <v>0</v>
      </c>
      <c r="H54" s="250">
        <f>+'物質収支（いしかわモデル）'!Q67</f>
        <v>0</v>
      </c>
      <c r="I54" s="233"/>
    </row>
    <row r="55" spans="2:9" ht="16.5" thickBot="1">
      <c r="B55" s="1381"/>
      <c r="C55" s="1387"/>
      <c r="D55" s="1390"/>
      <c r="E55" s="251" t="s">
        <v>94</v>
      </c>
      <c r="F55" s="251" t="s">
        <v>26</v>
      </c>
      <c r="G55" s="252">
        <f>+'物質収支（いしかわモデル）'!Q18</f>
        <v>0</v>
      </c>
      <c r="H55" s="252">
        <f>+'物質収支（いしかわモデル）'!Q69</f>
        <v>0</v>
      </c>
      <c r="I55" s="253"/>
    </row>
    <row r="56" spans="2:9" ht="15.75">
      <c r="B56" s="1381"/>
      <c r="C56" s="1383">
        <f>+⑤基本情報入力!V29</f>
        <v>0</v>
      </c>
      <c r="D56" s="1388" t="str">
        <f>+⑤基本情報入力!V30</f>
        <v>集落排水汚泥</v>
      </c>
      <c r="E56" s="246" t="s">
        <v>333</v>
      </c>
      <c r="F56" s="246" t="s">
        <v>2</v>
      </c>
      <c r="G56" s="247">
        <f>+ROUND('物質収支（いしかわモデル）'!R8,2)</f>
        <v>0</v>
      </c>
      <c r="H56" s="247">
        <f>+ROUND('物質収支（いしかわモデル）'!R59,2)</f>
        <v>0</v>
      </c>
      <c r="I56" s="248"/>
    </row>
    <row r="57" spans="2:9" ht="15.75">
      <c r="B57" s="1381"/>
      <c r="C57" s="1384"/>
      <c r="D57" s="1389"/>
      <c r="E57" s="249" t="s">
        <v>334</v>
      </c>
      <c r="F57" s="249" t="s">
        <v>220</v>
      </c>
      <c r="G57" s="250">
        <f>G56*365</f>
        <v>0</v>
      </c>
      <c r="H57" s="250">
        <f>H56*365</f>
        <v>0</v>
      </c>
      <c r="I57" s="233"/>
    </row>
    <row r="58" spans="2:9">
      <c r="B58" s="1381"/>
      <c r="C58" s="1384"/>
      <c r="D58" s="1130"/>
      <c r="E58" s="249" t="s">
        <v>42</v>
      </c>
      <c r="F58" s="249" t="s">
        <v>21</v>
      </c>
      <c r="G58" s="250">
        <f>+'物質収支（いしかわモデル）'!R15</f>
        <v>0</v>
      </c>
      <c r="H58" s="250">
        <f>+'物質収支（いしかわモデル）'!R66</f>
        <v>0</v>
      </c>
      <c r="I58" s="233"/>
    </row>
    <row r="59" spans="2:9">
      <c r="B59" s="1381"/>
      <c r="C59" s="1384"/>
      <c r="D59" s="1130"/>
      <c r="E59" s="249" t="s">
        <v>92</v>
      </c>
      <c r="F59" s="249" t="s">
        <v>27</v>
      </c>
      <c r="G59" s="250">
        <f>+ROUND('物質収支（いしかわモデル）'!R16,2)</f>
        <v>0</v>
      </c>
      <c r="H59" s="250">
        <f>+ROUND('物質収支（いしかわモデル）'!R67,2)</f>
        <v>0</v>
      </c>
      <c r="I59" s="233"/>
    </row>
    <row r="60" spans="2:9" ht="16.5" thickBot="1">
      <c r="B60" s="1381"/>
      <c r="C60" s="1387"/>
      <c r="D60" s="1390"/>
      <c r="E60" s="251" t="s">
        <v>93</v>
      </c>
      <c r="F60" s="251" t="s">
        <v>26</v>
      </c>
      <c r="G60" s="252">
        <f>+ROUND('物質収支（いしかわモデル）'!R18,2)</f>
        <v>0</v>
      </c>
      <c r="H60" s="252">
        <f>+ROUND('物質収支（いしかわモデル）'!R69,2)</f>
        <v>0</v>
      </c>
      <c r="I60" s="253"/>
    </row>
    <row r="61" spans="2:9" ht="15.75">
      <c r="B61" s="1381"/>
      <c r="C61" s="1383">
        <f>+⑤基本情報入力!AA29</f>
        <v>0</v>
      </c>
      <c r="D61" s="1388" t="str">
        <f>+⑤基本情報入力!AA30</f>
        <v>生ごみ</v>
      </c>
      <c r="E61" s="246" t="s">
        <v>333</v>
      </c>
      <c r="F61" s="246" t="s">
        <v>2</v>
      </c>
      <c r="G61" s="247">
        <f>ROUND(+'物質収支（いしかわモデル）'!S8,2)</f>
        <v>0</v>
      </c>
      <c r="H61" s="247">
        <f>ROUND(+'物質収支（いしかわモデル）'!S59,2)</f>
        <v>0</v>
      </c>
      <c r="I61" s="248"/>
    </row>
    <row r="62" spans="2:9" ht="15.75">
      <c r="B62" s="1381"/>
      <c r="C62" s="1384"/>
      <c r="D62" s="1389"/>
      <c r="E62" s="249" t="s">
        <v>334</v>
      </c>
      <c r="F62" s="249" t="s">
        <v>220</v>
      </c>
      <c r="G62" s="250">
        <f>G61*365</f>
        <v>0</v>
      </c>
      <c r="H62" s="250">
        <f>H61*365</f>
        <v>0</v>
      </c>
      <c r="I62" s="233"/>
    </row>
    <row r="63" spans="2:9">
      <c r="B63" s="1381"/>
      <c r="C63" s="1384"/>
      <c r="D63" s="1130"/>
      <c r="E63" s="249" t="s">
        <v>42</v>
      </c>
      <c r="F63" s="249" t="s">
        <v>21</v>
      </c>
      <c r="G63" s="250">
        <f>+'物質収支（いしかわモデル）'!S15</f>
        <v>0</v>
      </c>
      <c r="H63" s="250">
        <f>+'物質収支（いしかわモデル）'!S66</f>
        <v>0</v>
      </c>
      <c r="I63" s="233"/>
    </row>
    <row r="64" spans="2:9">
      <c r="B64" s="1381"/>
      <c r="C64" s="1384"/>
      <c r="D64" s="1130"/>
      <c r="E64" s="249" t="s">
        <v>92</v>
      </c>
      <c r="F64" s="249" t="s">
        <v>27</v>
      </c>
      <c r="G64" s="250">
        <f>ROUND('物質収支（いしかわモデル）'!S16,2)</f>
        <v>0</v>
      </c>
      <c r="H64" s="250">
        <f>ROUND(+'物質収支（いしかわモデル）'!S67,2)</f>
        <v>0</v>
      </c>
      <c r="I64" s="233"/>
    </row>
    <row r="65" spans="2:9" ht="16.5" thickBot="1">
      <c r="B65" s="1381"/>
      <c r="C65" s="1387"/>
      <c r="D65" s="1390"/>
      <c r="E65" s="251" t="s">
        <v>93</v>
      </c>
      <c r="F65" s="251" t="s">
        <v>26</v>
      </c>
      <c r="G65" s="252">
        <f>ROUND('物質収支（いしかわモデル）'!S18,2)</f>
        <v>0</v>
      </c>
      <c r="H65" s="252">
        <f>ROUND(+'物質収支（いしかわモデル）'!S69,2)</f>
        <v>0</v>
      </c>
      <c r="I65" s="253"/>
    </row>
    <row r="66" spans="2:9" ht="15.75">
      <c r="B66" s="1381"/>
      <c r="C66" s="1383">
        <f>+⑤基本情報入力!AF29</f>
        <v>0</v>
      </c>
      <c r="D66" s="1388">
        <f>+⑤基本情報入力!AF30</f>
        <v>0</v>
      </c>
      <c r="E66" s="246" t="s">
        <v>333</v>
      </c>
      <c r="F66" s="246" t="s">
        <v>2</v>
      </c>
      <c r="G66" s="247">
        <f>ROUND(+'物質収支（いしかわモデル）'!T8,2)</f>
        <v>0</v>
      </c>
      <c r="H66" s="247">
        <f>ROUND('物質収支（いしかわモデル）'!T59,2)</f>
        <v>0</v>
      </c>
      <c r="I66" s="248"/>
    </row>
    <row r="67" spans="2:9" ht="15.75">
      <c r="B67" s="1381"/>
      <c r="C67" s="1384"/>
      <c r="D67" s="1389"/>
      <c r="E67" s="249" t="s">
        <v>334</v>
      </c>
      <c r="F67" s="249" t="s">
        <v>220</v>
      </c>
      <c r="G67" s="250">
        <f>G66*365</f>
        <v>0</v>
      </c>
      <c r="H67" s="250">
        <f>H66*365</f>
        <v>0</v>
      </c>
      <c r="I67" s="233"/>
    </row>
    <row r="68" spans="2:9">
      <c r="B68" s="1381"/>
      <c r="C68" s="1384"/>
      <c r="D68" s="1130"/>
      <c r="E68" s="249" t="s">
        <v>42</v>
      </c>
      <c r="F68" s="249" t="s">
        <v>21</v>
      </c>
      <c r="G68" s="250">
        <f>+'物質収支（いしかわモデル）'!T15</f>
        <v>0</v>
      </c>
      <c r="H68" s="250">
        <f>+'物質収支（いしかわモデル）'!T66</f>
        <v>0</v>
      </c>
      <c r="I68" s="233"/>
    </row>
    <row r="69" spans="2:9">
      <c r="B69" s="1381"/>
      <c r="C69" s="1384"/>
      <c r="D69" s="1130"/>
      <c r="E69" s="249" t="s">
        <v>92</v>
      </c>
      <c r="F69" s="249" t="s">
        <v>27</v>
      </c>
      <c r="G69" s="250">
        <f>ROUND('物質収支（いしかわモデル）'!T16,2)</f>
        <v>0</v>
      </c>
      <c r="H69" s="250">
        <f>ROUND(+'物質収支（いしかわモデル）'!T67,2)</f>
        <v>0</v>
      </c>
      <c r="I69" s="233"/>
    </row>
    <row r="70" spans="2:9" ht="16.5" thickBot="1">
      <c r="B70" s="1381"/>
      <c r="C70" s="1387"/>
      <c r="D70" s="1390"/>
      <c r="E70" s="251" t="s">
        <v>93</v>
      </c>
      <c r="F70" s="251" t="s">
        <v>26</v>
      </c>
      <c r="G70" s="252">
        <f>ROUND('物質収支（いしかわモデル）'!T18,2)</f>
        <v>0</v>
      </c>
      <c r="H70" s="252">
        <f>ROUND(+'物質収支（いしかわモデル）'!T69,2)</f>
        <v>0</v>
      </c>
      <c r="I70" s="253"/>
    </row>
    <row r="71" spans="2:9" ht="15.75">
      <c r="B71" s="1381"/>
      <c r="C71" s="1383">
        <f>+⑤基本情報入力!AK29</f>
        <v>0</v>
      </c>
      <c r="D71" s="1388">
        <f>+⑤基本情報入力!AK30</f>
        <v>0</v>
      </c>
      <c r="E71" s="246" t="s">
        <v>333</v>
      </c>
      <c r="F71" s="246" t="s">
        <v>2</v>
      </c>
      <c r="G71" s="247">
        <f>ROUND('物質収支（いしかわモデル）'!U8,2)</f>
        <v>0</v>
      </c>
      <c r="H71" s="247">
        <f>ROUND('物質収支（いしかわモデル）'!U59,2)</f>
        <v>0</v>
      </c>
      <c r="I71" s="248"/>
    </row>
    <row r="72" spans="2:9" ht="15.75">
      <c r="B72" s="1381"/>
      <c r="C72" s="1384"/>
      <c r="D72" s="1389"/>
      <c r="E72" s="249" t="s">
        <v>334</v>
      </c>
      <c r="F72" s="249" t="s">
        <v>220</v>
      </c>
      <c r="G72" s="250">
        <f>G71*365</f>
        <v>0</v>
      </c>
      <c r="H72" s="250">
        <f>H71*365</f>
        <v>0</v>
      </c>
      <c r="I72" s="233"/>
    </row>
    <row r="73" spans="2:9">
      <c r="B73" s="1381"/>
      <c r="C73" s="1384"/>
      <c r="D73" s="1130"/>
      <c r="E73" s="249" t="s">
        <v>42</v>
      </c>
      <c r="F73" s="249" t="s">
        <v>21</v>
      </c>
      <c r="G73" s="250">
        <f>+'物質収支（いしかわモデル）'!U15</f>
        <v>0</v>
      </c>
      <c r="H73" s="250">
        <f>+'物質収支（いしかわモデル）'!U66</f>
        <v>0</v>
      </c>
      <c r="I73" s="233"/>
    </row>
    <row r="74" spans="2:9">
      <c r="B74" s="1381"/>
      <c r="C74" s="1384"/>
      <c r="D74" s="1130"/>
      <c r="E74" s="249" t="s">
        <v>92</v>
      </c>
      <c r="F74" s="249" t="s">
        <v>27</v>
      </c>
      <c r="G74" s="250">
        <f>ROUND('物質収支（いしかわモデル）'!U16,2)</f>
        <v>0</v>
      </c>
      <c r="H74" s="250">
        <f>ROUND(+'物質収支（いしかわモデル）'!U67,2)</f>
        <v>0</v>
      </c>
      <c r="I74" s="233"/>
    </row>
    <row r="75" spans="2:9" ht="16.5" thickBot="1">
      <c r="B75" s="1381"/>
      <c r="C75" s="1387"/>
      <c r="D75" s="1390"/>
      <c r="E75" s="251" t="s">
        <v>93</v>
      </c>
      <c r="F75" s="251" t="s">
        <v>26</v>
      </c>
      <c r="G75" s="252">
        <f>ROUND('物質収支（いしかわモデル）'!U18,2)</f>
        <v>0</v>
      </c>
      <c r="H75" s="252">
        <f>ROUND(+'物質収支（いしかわモデル）'!U69,2)</f>
        <v>0</v>
      </c>
      <c r="I75" s="253"/>
    </row>
    <row r="76" spans="2:9" ht="15.75">
      <c r="B76" s="1381"/>
      <c r="C76" s="1383">
        <f>+⑤基本情報入力!AP29</f>
        <v>0</v>
      </c>
      <c r="D76" s="1388">
        <f>+⑤基本情報入力!AP30</f>
        <v>0</v>
      </c>
      <c r="E76" s="246" t="s">
        <v>333</v>
      </c>
      <c r="F76" s="246" t="s">
        <v>2</v>
      </c>
      <c r="G76" s="247">
        <f>ROUND('物質収支（いしかわモデル）'!V8,2)</f>
        <v>0</v>
      </c>
      <c r="H76" s="247">
        <f>ROUND(+'物質収支（いしかわモデル）'!V59,2)</f>
        <v>0</v>
      </c>
      <c r="I76" s="248"/>
    </row>
    <row r="77" spans="2:9" ht="15.75">
      <c r="B77" s="1381"/>
      <c r="C77" s="1384"/>
      <c r="D77" s="1389"/>
      <c r="E77" s="249" t="s">
        <v>334</v>
      </c>
      <c r="F77" s="249" t="s">
        <v>220</v>
      </c>
      <c r="G77" s="250">
        <f>G76*365</f>
        <v>0</v>
      </c>
      <c r="H77" s="250">
        <f>H76*365</f>
        <v>0</v>
      </c>
      <c r="I77" s="233"/>
    </row>
    <row r="78" spans="2:9">
      <c r="B78" s="1381"/>
      <c r="C78" s="1384"/>
      <c r="D78" s="1130"/>
      <c r="E78" s="249" t="s">
        <v>42</v>
      </c>
      <c r="F78" s="249" t="s">
        <v>21</v>
      </c>
      <c r="G78" s="250">
        <f>+'物質収支（いしかわモデル）'!V15</f>
        <v>0</v>
      </c>
      <c r="H78" s="250">
        <f>+'物質収支（いしかわモデル）'!V66</f>
        <v>0</v>
      </c>
      <c r="I78" s="233"/>
    </row>
    <row r="79" spans="2:9">
      <c r="B79" s="1381"/>
      <c r="C79" s="1384"/>
      <c r="D79" s="1130"/>
      <c r="E79" s="249" t="s">
        <v>92</v>
      </c>
      <c r="F79" s="249" t="s">
        <v>27</v>
      </c>
      <c r="G79" s="250">
        <f>ROUND('物質収支（いしかわモデル）'!V16,2)</f>
        <v>0</v>
      </c>
      <c r="H79" s="250">
        <f>ROUND(+'物質収支（いしかわモデル）'!V67,2)</f>
        <v>0</v>
      </c>
      <c r="I79" s="233"/>
    </row>
    <row r="80" spans="2:9" ht="16.5" thickBot="1">
      <c r="B80" s="1381"/>
      <c r="C80" s="1387"/>
      <c r="D80" s="1390"/>
      <c r="E80" s="251" t="s">
        <v>93</v>
      </c>
      <c r="F80" s="251" t="s">
        <v>26</v>
      </c>
      <c r="G80" s="252">
        <f>ROUND('物質収支（いしかわモデル）'!V18,2)</f>
        <v>0</v>
      </c>
      <c r="H80" s="252">
        <f>ROUND(+'物質収支（いしかわモデル）'!V69,2)</f>
        <v>0</v>
      </c>
      <c r="I80" s="253"/>
    </row>
    <row r="81" spans="2:9" ht="15.75">
      <c r="B81" s="1381"/>
      <c r="C81" s="1383">
        <f>+⑤基本情報入力!AU29</f>
        <v>0</v>
      </c>
      <c r="D81" s="1388">
        <f>+⑤基本情報入力!AU30</f>
        <v>0</v>
      </c>
      <c r="E81" s="246" t="s">
        <v>333</v>
      </c>
      <c r="F81" s="246" t="s">
        <v>2</v>
      </c>
      <c r="G81" s="247">
        <f>ROUND('物質収支（いしかわモデル）'!W8,2)</f>
        <v>0</v>
      </c>
      <c r="H81" s="247">
        <f>ROUND(+'物質収支（いしかわモデル）'!W59,2)</f>
        <v>0</v>
      </c>
      <c r="I81" s="248"/>
    </row>
    <row r="82" spans="2:9" ht="15.75">
      <c r="B82" s="1381"/>
      <c r="C82" s="1384"/>
      <c r="D82" s="1389"/>
      <c r="E82" s="249" t="s">
        <v>334</v>
      </c>
      <c r="F82" s="249" t="s">
        <v>220</v>
      </c>
      <c r="G82" s="250">
        <f>G81*365</f>
        <v>0</v>
      </c>
      <c r="H82" s="250">
        <f>H81*365</f>
        <v>0</v>
      </c>
      <c r="I82" s="233"/>
    </row>
    <row r="83" spans="2:9">
      <c r="B83" s="1381"/>
      <c r="C83" s="1384"/>
      <c r="D83" s="1130"/>
      <c r="E83" s="249" t="s">
        <v>42</v>
      </c>
      <c r="F83" s="249" t="s">
        <v>21</v>
      </c>
      <c r="G83" s="250">
        <f>+'物質収支（いしかわモデル）'!W15</f>
        <v>0</v>
      </c>
      <c r="H83" s="250">
        <f>+'物質収支（いしかわモデル）'!W66</f>
        <v>0</v>
      </c>
      <c r="I83" s="233"/>
    </row>
    <row r="84" spans="2:9">
      <c r="B84" s="1381"/>
      <c r="C84" s="1384"/>
      <c r="D84" s="1130"/>
      <c r="E84" s="249" t="s">
        <v>92</v>
      </c>
      <c r="F84" s="249" t="s">
        <v>27</v>
      </c>
      <c r="G84" s="250">
        <f>ROUND('物質収支（いしかわモデル）'!W16,2)</f>
        <v>0</v>
      </c>
      <c r="H84" s="250">
        <f>ROUND(+'物質収支（いしかわモデル）'!W67,2)</f>
        <v>0</v>
      </c>
      <c r="I84" s="233"/>
    </row>
    <row r="85" spans="2:9" ht="16.5" thickBot="1">
      <c r="B85" s="1381"/>
      <c r="C85" s="1387"/>
      <c r="D85" s="1390"/>
      <c r="E85" s="251" t="s">
        <v>93</v>
      </c>
      <c r="F85" s="251" t="s">
        <v>26</v>
      </c>
      <c r="G85" s="252">
        <f>ROUND('物質収支（いしかわモデル）'!W18,2)</f>
        <v>0</v>
      </c>
      <c r="H85" s="252">
        <f>ROUND(+'物質収支（いしかわモデル）'!W69,2)</f>
        <v>0</v>
      </c>
      <c r="I85" s="253"/>
    </row>
    <row r="86" spans="2:9" ht="15.75">
      <c r="B86" s="1381"/>
      <c r="C86" s="1391" t="s">
        <v>157</v>
      </c>
      <c r="D86" s="1392"/>
      <c r="E86" s="246" t="s">
        <v>333</v>
      </c>
      <c r="F86" s="246" t="s">
        <v>2</v>
      </c>
      <c r="G86" s="247">
        <f>ROUND('物質収支（いしかわモデル）'!X10,2)</f>
        <v>0</v>
      </c>
      <c r="H86" s="247">
        <f>ROUND('物質収支（いしかわモデル）'!X61,2)</f>
        <v>0</v>
      </c>
      <c r="I86" s="248"/>
    </row>
    <row r="87" spans="2:9" ht="15.75">
      <c r="B87" s="1381"/>
      <c r="C87" s="1393"/>
      <c r="D87" s="1394"/>
      <c r="E87" s="249" t="s">
        <v>334</v>
      </c>
      <c r="F87" s="249" t="s">
        <v>220</v>
      </c>
      <c r="G87" s="250">
        <f>G86*365</f>
        <v>0</v>
      </c>
      <c r="H87" s="250">
        <f>H86*365</f>
        <v>0</v>
      </c>
      <c r="I87" s="233"/>
    </row>
    <row r="88" spans="2:9">
      <c r="B88" s="1381"/>
      <c r="C88" s="1393"/>
      <c r="D88" s="1394"/>
      <c r="E88" s="249" t="s">
        <v>42</v>
      </c>
      <c r="F88" s="249" t="s">
        <v>21</v>
      </c>
      <c r="G88" s="250">
        <f>ROUND('物質収支（いしかわモデル）'!X15,2)</f>
        <v>0</v>
      </c>
      <c r="H88" s="250">
        <f>ROUND('物質収支（いしかわモデル）'!X66,2)</f>
        <v>0</v>
      </c>
      <c r="I88" s="233"/>
    </row>
    <row r="89" spans="2:9">
      <c r="B89" s="1381"/>
      <c r="C89" s="1393"/>
      <c r="D89" s="1394"/>
      <c r="E89" s="249" t="s">
        <v>92</v>
      </c>
      <c r="F89" s="249" t="s">
        <v>27</v>
      </c>
      <c r="G89" s="250" t="e">
        <f>ROUND('物質収支（いしかわモデル）'!X16,2)</f>
        <v>#DIV/0!</v>
      </c>
      <c r="H89" s="250" t="e">
        <f>ROUND('物質収支（いしかわモデル）'!X67,2)</f>
        <v>#DIV/0!</v>
      </c>
      <c r="I89" s="233"/>
    </row>
    <row r="90" spans="2:9" ht="16.5" thickBot="1">
      <c r="B90" s="1382"/>
      <c r="C90" s="1395"/>
      <c r="D90" s="1396"/>
      <c r="E90" s="251" t="s">
        <v>45</v>
      </c>
      <c r="F90" s="251" t="s">
        <v>2</v>
      </c>
      <c r="G90" s="252">
        <f>ROUND(+G86*G88,2)</f>
        <v>0</v>
      </c>
      <c r="H90" s="252">
        <f>ROUND(+H86*H88,2)</f>
        <v>0</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ageMargins left="0.7" right="0.7" top="0.75" bottom="0.75" header="0.3" footer="0.3"/>
  <pageSetup paperSize="9" scale="70" fitToHeight="0" orientation="portrait" r:id="rId1"/>
  <rowBreaks count="1" manualBreakCount="1">
    <brk id="45"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J260"/>
  <sheetViews>
    <sheetView showGridLines="0" topLeftCell="D1" workbookViewId="0">
      <selection activeCell="H22" sqref="H22"/>
    </sheetView>
  </sheetViews>
  <sheetFormatPr defaultRowHeight="13.5"/>
  <cols>
    <col min="1" max="1" width="9" style="148"/>
    <col min="2" max="2" width="9" style="58"/>
    <col min="3" max="3" width="23" style="58" customWidth="1"/>
    <col min="4" max="4" width="17" style="58" customWidth="1"/>
    <col min="5" max="5" width="9" style="58"/>
    <col min="6" max="6" width="15.5" style="58" customWidth="1"/>
    <col min="7" max="7" width="15.125" style="58" bestFit="1" customWidth="1"/>
    <col min="8" max="8" width="28.875" style="58" bestFit="1" customWidth="1"/>
    <col min="9" max="9" width="11" style="58" bestFit="1" customWidth="1"/>
    <col min="10" max="10" width="10" style="58" bestFit="1" customWidth="1"/>
    <col min="11" max="11" width="11.625" style="58" bestFit="1" customWidth="1"/>
    <col min="12" max="17" width="9" style="58"/>
    <col min="18" max="18" width="66.375" style="58" customWidth="1"/>
    <col min="19" max="25" width="9" style="58"/>
    <col min="26" max="26" width="24.125" style="58" bestFit="1" customWidth="1"/>
    <col min="27" max="16384" width="9" style="58"/>
  </cols>
  <sheetData>
    <row r="1" spans="1:18">
      <c r="J1" s="75"/>
      <c r="K1" s="75"/>
      <c r="L1" s="75"/>
      <c r="M1" s="75"/>
    </row>
    <row r="2" spans="1:18">
      <c r="B2" t="s">
        <v>229</v>
      </c>
      <c r="C2" s="58" t="s">
        <v>721</v>
      </c>
      <c r="D2" s="76"/>
      <c r="J2" s="73"/>
      <c r="K2" s="147"/>
      <c r="L2" s="73"/>
      <c r="M2" s="73"/>
    </row>
    <row r="3" spans="1:18">
      <c r="A3" s="148" t="str">
        <f>+⑤基本情報入力!E51</f>
        <v>①</v>
      </c>
      <c r="B3" s="1232">
        <f>+⑤基本情報入力!E52</f>
        <v>0</v>
      </c>
      <c r="C3" s="1232"/>
    </row>
    <row r="4" spans="1:18">
      <c r="B4" s="354" t="s">
        <v>230</v>
      </c>
      <c r="C4" s="337" t="s">
        <v>231</v>
      </c>
      <c r="D4" s="337" t="s">
        <v>232</v>
      </c>
      <c r="E4" s="337" t="s">
        <v>233</v>
      </c>
      <c r="F4" s="337" t="s">
        <v>234</v>
      </c>
      <c r="G4" s="1415" t="s">
        <v>235</v>
      </c>
      <c r="H4" s="1415"/>
      <c r="I4" s="1415" t="s">
        <v>236</v>
      </c>
      <c r="J4" s="1415"/>
      <c r="K4" s="1415" t="s">
        <v>237</v>
      </c>
      <c r="L4" s="1415"/>
      <c r="M4" s="1416" t="s">
        <v>291</v>
      </c>
      <c r="N4" s="1416"/>
      <c r="O4" s="77" t="s">
        <v>238</v>
      </c>
      <c r="P4" s="77" t="s">
        <v>239</v>
      </c>
      <c r="Q4" s="77" t="s">
        <v>240</v>
      </c>
      <c r="R4" s="337" t="s">
        <v>97</v>
      </c>
    </row>
    <row r="5" spans="1:18" ht="15.75">
      <c r="B5" s="1417"/>
      <c r="C5" s="1502" t="s">
        <v>241</v>
      </c>
      <c r="D5" s="1500" t="s">
        <v>242</v>
      </c>
      <c r="E5" s="357">
        <f>IF(⑤基本情報入力!E53:I53=0,1,⑤基本情報入力!E53)</f>
        <v>1</v>
      </c>
      <c r="F5" s="78" t="s">
        <v>3</v>
      </c>
      <c r="G5" s="79" t="s">
        <v>11</v>
      </c>
      <c r="H5" s="79" t="s">
        <v>653</v>
      </c>
      <c r="I5" s="80">
        <f t="shared" ref="I5:I36" si="0">K5*(1-O5)*(P5+P5/((P5+1)^Q5-1))</f>
        <v>0</v>
      </c>
      <c r="J5" s="72" t="s">
        <v>124</v>
      </c>
      <c r="K5" s="70">
        <f>1.31*M5^0.611*E5</f>
        <v>0</v>
      </c>
      <c r="L5" s="79" t="s">
        <v>120</v>
      </c>
      <c r="M5" s="80">
        <f>IFERROR('計算条件（いしかわモデル）'!H7/E5,0)</f>
        <v>0</v>
      </c>
      <c r="N5" s="1221" t="s">
        <v>243</v>
      </c>
      <c r="O5" s="81">
        <f>+⑤基本情報入力!$Y$61</f>
        <v>0.1</v>
      </c>
      <c r="P5" s="82">
        <f>+⑤基本情報入力!$AB$61</f>
        <v>2.3E-2</v>
      </c>
      <c r="Q5" s="83">
        <f>+⑤基本情報入力!$AE$61</f>
        <v>20</v>
      </c>
      <c r="R5" s="72" t="s">
        <v>244</v>
      </c>
    </row>
    <row r="6" spans="1:18" ht="15.75">
      <c r="B6" s="1417"/>
      <c r="C6" s="1502"/>
      <c r="D6" s="1500"/>
      <c r="E6" s="359">
        <v>0</v>
      </c>
      <c r="F6" s="78" t="s">
        <v>8</v>
      </c>
      <c r="G6" s="79" t="s">
        <v>11</v>
      </c>
      <c r="H6" s="79" t="s">
        <v>654</v>
      </c>
      <c r="I6" s="80">
        <f t="shared" si="0"/>
        <v>0</v>
      </c>
      <c r="J6" s="72" t="s">
        <v>124</v>
      </c>
      <c r="K6" s="70">
        <f>1.24*M6^0.598*E6</f>
        <v>0</v>
      </c>
      <c r="L6" s="79" t="s">
        <v>120</v>
      </c>
      <c r="M6" s="80">
        <f>+M5</f>
        <v>0</v>
      </c>
      <c r="N6" s="1221"/>
      <c r="O6" s="81">
        <f>+⑤基本情報入力!$Y$63</f>
        <v>0.1</v>
      </c>
      <c r="P6" s="84">
        <f>+⑤基本情報入力!$AB$63</f>
        <v>2.3E-2</v>
      </c>
      <c r="Q6" s="83">
        <f>+⑤基本情報入力!$AE$63</f>
        <v>40</v>
      </c>
      <c r="R6" s="72" t="s">
        <v>244</v>
      </c>
    </row>
    <row r="7" spans="1:18" ht="15.75">
      <c r="B7" s="1417"/>
      <c r="C7" s="1501" t="s">
        <v>611</v>
      </c>
      <c r="D7" s="1500" t="s">
        <v>612</v>
      </c>
      <c r="E7" s="357">
        <f>IF(⑤基本情報入力!E54:I54=0,1,⑤基本情報入力!E54)</f>
        <v>1</v>
      </c>
      <c r="F7" s="78" t="s">
        <v>3</v>
      </c>
      <c r="G7" s="79" t="s">
        <v>11</v>
      </c>
      <c r="H7" s="79" t="s">
        <v>655</v>
      </c>
      <c r="I7" s="80">
        <f t="shared" si="0"/>
        <v>0</v>
      </c>
      <c r="J7" s="72" t="s">
        <v>124</v>
      </c>
      <c r="K7" s="70">
        <f>22.7*M7^0.444*E7</f>
        <v>0</v>
      </c>
      <c r="L7" s="79" t="s">
        <v>120</v>
      </c>
      <c r="M7" s="80">
        <f>IFERROR('物質収支（いしかわモデル）'!X83*100/E7,0)</f>
        <v>0</v>
      </c>
      <c r="N7" s="1221" t="s">
        <v>243</v>
      </c>
      <c r="O7" s="81">
        <f>+⑤基本情報入力!$Y$61</f>
        <v>0.1</v>
      </c>
      <c r="P7" s="82">
        <f>+⑤基本情報入力!$AB$61</f>
        <v>2.3E-2</v>
      </c>
      <c r="Q7" s="83">
        <f>+⑤基本情報入力!$AE$61</f>
        <v>20</v>
      </c>
      <c r="R7" s="72" t="s">
        <v>244</v>
      </c>
    </row>
    <row r="8" spans="1:18" ht="15.75">
      <c r="B8" s="1417"/>
      <c r="C8" s="1501"/>
      <c r="D8" s="1500"/>
      <c r="E8" s="359">
        <v>0</v>
      </c>
      <c r="F8" s="78" t="s">
        <v>8</v>
      </c>
      <c r="G8" s="79" t="s">
        <v>11</v>
      </c>
      <c r="H8" s="79" t="s">
        <v>656</v>
      </c>
      <c r="I8" s="80">
        <f t="shared" si="0"/>
        <v>0</v>
      </c>
      <c r="J8" s="72" t="s">
        <v>124</v>
      </c>
      <c r="K8" s="70">
        <f>43.4*M8^0.373*E8</f>
        <v>0</v>
      </c>
      <c r="L8" s="79" t="s">
        <v>120</v>
      </c>
      <c r="M8" s="80">
        <f>+M7</f>
        <v>0</v>
      </c>
      <c r="N8" s="1221"/>
      <c r="O8" s="81">
        <f>+⑤基本情報入力!$Y$63</f>
        <v>0.1</v>
      </c>
      <c r="P8" s="84">
        <f>+⑤基本情報入力!$AB$63</f>
        <v>2.3E-2</v>
      </c>
      <c r="Q8" s="83">
        <f>+⑤基本情報入力!$AE$63</f>
        <v>40</v>
      </c>
      <c r="R8" s="72" t="s">
        <v>244</v>
      </c>
    </row>
    <row r="9" spans="1:18" ht="15.75">
      <c r="B9" s="1417"/>
      <c r="C9" s="586" t="s">
        <v>246</v>
      </c>
      <c r="D9" s="589"/>
      <c r="E9" s="357">
        <f>E5/E5</f>
        <v>1</v>
      </c>
      <c r="F9" s="338" t="s">
        <v>4</v>
      </c>
      <c r="G9" s="79" t="s">
        <v>11</v>
      </c>
      <c r="H9" s="72" t="s">
        <v>657</v>
      </c>
      <c r="I9" s="80">
        <f t="shared" si="0"/>
        <v>0</v>
      </c>
      <c r="J9" s="72" t="s">
        <v>124</v>
      </c>
      <c r="K9" s="69">
        <f>17.8*M9^0.464*E9</f>
        <v>0</v>
      </c>
      <c r="L9" s="72" t="s">
        <v>120</v>
      </c>
      <c r="M9" s="80">
        <f>IFERROR('物質収支（いしかわモデル）'!X62*100/E9,0)</f>
        <v>0</v>
      </c>
      <c r="N9" s="339" t="s">
        <v>243</v>
      </c>
      <c r="O9" s="81">
        <f>+⑤基本情報入力!$Y$62</f>
        <v>0.1</v>
      </c>
      <c r="P9" s="84">
        <f>+⑤基本情報入力!$AB$62</f>
        <v>2.3E-2</v>
      </c>
      <c r="Q9" s="83">
        <f>+⑤基本情報入力!$AE$62</f>
        <v>15</v>
      </c>
      <c r="R9" s="72" t="s">
        <v>247</v>
      </c>
    </row>
    <row r="10" spans="1:18" ht="15.75">
      <c r="B10" s="1417"/>
      <c r="C10" s="1501" t="s">
        <v>100</v>
      </c>
      <c r="D10" s="1500"/>
      <c r="E10" s="357">
        <v>1</v>
      </c>
      <c r="F10" s="338" t="s">
        <v>3</v>
      </c>
      <c r="G10" s="79" t="s">
        <v>11</v>
      </c>
      <c r="H10" s="72" t="s">
        <v>132</v>
      </c>
      <c r="I10" s="80">
        <f t="shared" si="0"/>
        <v>0</v>
      </c>
      <c r="J10" s="72" t="s">
        <v>124</v>
      </c>
      <c r="K10" s="69">
        <f>8.26*M10^0.4*E10</f>
        <v>0</v>
      </c>
      <c r="L10" s="72" t="s">
        <v>120</v>
      </c>
      <c r="M10" s="80">
        <f>IFERROR('施設規模の設定（いしかわモデル）'!G11/E10,0)</f>
        <v>0</v>
      </c>
      <c r="N10" s="339" t="s">
        <v>1</v>
      </c>
      <c r="O10" s="81">
        <f>+⑤基本情報入力!$Y$61</f>
        <v>0.1</v>
      </c>
      <c r="P10" s="82">
        <f>+⑤基本情報入力!$AB$61</f>
        <v>2.3E-2</v>
      </c>
      <c r="Q10" s="83">
        <f>+⑤基本情報入力!$AE$61</f>
        <v>20</v>
      </c>
      <c r="R10" s="72" t="s">
        <v>248</v>
      </c>
    </row>
    <row r="11" spans="1:18" ht="15.75">
      <c r="B11" s="1417"/>
      <c r="C11" s="1501"/>
      <c r="D11" s="1500"/>
      <c r="E11" s="357">
        <v>1</v>
      </c>
      <c r="F11" s="338" t="s">
        <v>4</v>
      </c>
      <c r="G11" s="79" t="s">
        <v>11</v>
      </c>
      <c r="H11" s="72" t="s">
        <v>318</v>
      </c>
      <c r="I11" s="80">
        <f t="shared" si="0"/>
        <v>0</v>
      </c>
      <c r="J11" s="72" t="s">
        <v>124</v>
      </c>
      <c r="K11" s="69">
        <f>0.836*M11^0.535*E11</f>
        <v>0</v>
      </c>
      <c r="L11" s="72" t="s">
        <v>120</v>
      </c>
      <c r="M11" s="80">
        <f>+M10</f>
        <v>0</v>
      </c>
      <c r="N11" s="339" t="s">
        <v>1</v>
      </c>
      <c r="O11" s="81">
        <f>+⑤基本情報入力!$Y$62</f>
        <v>0.1</v>
      </c>
      <c r="P11" s="84">
        <f>+⑤基本情報入力!$AB$62</f>
        <v>2.3E-2</v>
      </c>
      <c r="Q11" s="83">
        <f>+⑤基本情報入力!$AE$62</f>
        <v>15</v>
      </c>
      <c r="R11" s="72"/>
    </row>
    <row r="12" spans="1:18" ht="15.75">
      <c r="B12" s="1417"/>
      <c r="C12" s="1501"/>
      <c r="D12" s="1500"/>
      <c r="E12" s="359">
        <v>1</v>
      </c>
      <c r="F12" s="338" t="s">
        <v>6</v>
      </c>
      <c r="G12" s="79" t="s">
        <v>11</v>
      </c>
      <c r="H12" s="72" t="s">
        <v>133</v>
      </c>
      <c r="I12" s="80">
        <f t="shared" si="0"/>
        <v>0</v>
      </c>
      <c r="J12" s="72" t="s">
        <v>124</v>
      </c>
      <c r="K12" s="69">
        <f>2.01*M12^0.585*E12</f>
        <v>0</v>
      </c>
      <c r="L12" s="72" t="s">
        <v>120</v>
      </c>
      <c r="M12" s="80">
        <f>+M10</f>
        <v>0</v>
      </c>
      <c r="N12" s="339" t="s">
        <v>1</v>
      </c>
      <c r="O12" s="81">
        <f>+⑤基本情報入力!$Y$63</f>
        <v>0.1</v>
      </c>
      <c r="P12" s="84">
        <f>+⑤基本情報入力!$AB$63</f>
        <v>2.3E-2</v>
      </c>
      <c r="Q12" s="83">
        <f>+⑤基本情報入力!$AE$63</f>
        <v>40</v>
      </c>
      <c r="R12" s="72"/>
    </row>
    <row r="13" spans="1:18" ht="15.75">
      <c r="B13" s="1417"/>
      <c r="C13" s="1513" t="s">
        <v>637</v>
      </c>
      <c r="D13" s="1500" t="s">
        <v>249</v>
      </c>
      <c r="E13" s="357">
        <v>1</v>
      </c>
      <c r="F13" s="338" t="s">
        <v>3</v>
      </c>
      <c r="G13" s="611" t="s">
        <v>271</v>
      </c>
      <c r="H13" s="611" t="s">
        <v>806</v>
      </c>
      <c r="I13" s="612">
        <f t="shared" si="0"/>
        <v>0</v>
      </c>
      <c r="J13" s="46" t="s">
        <v>124</v>
      </c>
      <c r="K13" s="613">
        <f>0.41*M13*E13</f>
        <v>0</v>
      </c>
      <c r="L13" s="46" t="s">
        <v>120</v>
      </c>
      <c r="M13" s="614">
        <f>IFERROR('施設規模の設定（いしかわモデル）'!G14/E13,0)</f>
        <v>0</v>
      </c>
      <c r="N13" s="339" t="s">
        <v>1</v>
      </c>
      <c r="O13" s="81">
        <f>+⑤基本情報入力!$Y$61</f>
        <v>0.1</v>
      </c>
      <c r="P13" s="82">
        <f>+⑤基本情報入力!$AB$61</f>
        <v>2.3E-2</v>
      </c>
      <c r="Q13" s="83">
        <f>+⑤基本情報入力!$AE$61</f>
        <v>20</v>
      </c>
      <c r="R13" s="72" t="s">
        <v>561</v>
      </c>
    </row>
    <row r="14" spans="1:18" ht="15.75">
      <c r="B14" s="1417"/>
      <c r="C14" s="1533"/>
      <c r="D14" s="1500"/>
      <c r="E14" s="359">
        <v>1</v>
      </c>
      <c r="F14" s="338" t="s">
        <v>8</v>
      </c>
      <c r="G14" s="611" t="s">
        <v>271</v>
      </c>
      <c r="H14" s="611" t="s">
        <v>807</v>
      </c>
      <c r="I14" s="612">
        <f t="shared" si="0"/>
        <v>0</v>
      </c>
      <c r="J14" s="46" t="s">
        <v>124</v>
      </c>
      <c r="K14" s="613">
        <f>0.07*M14*E14</f>
        <v>0</v>
      </c>
      <c r="L14" s="46" t="s">
        <v>120</v>
      </c>
      <c r="M14" s="614">
        <f>+M13</f>
        <v>0</v>
      </c>
      <c r="N14" s="339" t="s">
        <v>1</v>
      </c>
      <c r="O14" s="81">
        <f>+⑤基本情報入力!$Y$63</f>
        <v>0.1</v>
      </c>
      <c r="P14" s="84">
        <f>+⑤基本情報入力!$AB$63</f>
        <v>2.3E-2</v>
      </c>
      <c r="Q14" s="83">
        <f>+⑤基本情報入力!$AE$63</f>
        <v>40</v>
      </c>
      <c r="R14" s="86"/>
    </row>
    <row r="15" spans="1:18" ht="15.75">
      <c r="B15" s="1417"/>
      <c r="C15" s="1513" t="s">
        <v>601</v>
      </c>
      <c r="D15" s="1506" t="s">
        <v>602</v>
      </c>
      <c r="E15" s="357">
        <v>1</v>
      </c>
      <c r="F15" s="338" t="s">
        <v>3</v>
      </c>
      <c r="G15" s="611" t="s">
        <v>271</v>
      </c>
      <c r="H15" s="611" t="s">
        <v>805</v>
      </c>
      <c r="I15" s="612">
        <f t="shared" si="0"/>
        <v>0</v>
      </c>
      <c r="J15" s="46" t="s">
        <v>124</v>
      </c>
      <c r="K15" s="613">
        <f>0.1*M15*E15</f>
        <v>0</v>
      </c>
      <c r="L15" s="46" t="s">
        <v>120</v>
      </c>
      <c r="M15" s="614">
        <f>IFERROR('施設規模の設定（いしかわモデル）'!G17/E16,0)</f>
        <v>0</v>
      </c>
      <c r="N15" s="339" t="s">
        <v>1</v>
      </c>
      <c r="O15" s="81">
        <f>+⑤基本情報入力!$Y$61</f>
        <v>0.1</v>
      </c>
      <c r="P15" s="82">
        <f>+⑤基本情報入力!$AB$61</f>
        <v>2.3E-2</v>
      </c>
      <c r="Q15" s="83">
        <f>+⑤基本情報入力!$AE$61</f>
        <v>20</v>
      </c>
      <c r="R15" s="74" t="s">
        <v>251</v>
      </c>
    </row>
    <row r="16" spans="1:18" ht="15.75">
      <c r="B16" s="1417"/>
      <c r="C16" s="1514"/>
      <c r="D16" s="1512"/>
      <c r="E16" s="505">
        <v>1</v>
      </c>
      <c r="F16" s="501" t="s">
        <v>603</v>
      </c>
      <c r="G16" s="611" t="s">
        <v>271</v>
      </c>
      <c r="H16" s="611" t="s">
        <v>804</v>
      </c>
      <c r="I16" s="612">
        <f t="shared" ref="I16" si="1">K16*(1-O16)*(P16+P16/((P16+1)^Q16-1))</f>
        <v>0</v>
      </c>
      <c r="J16" s="46" t="s">
        <v>124</v>
      </c>
      <c r="K16" s="613">
        <f>0.03*M16*E16</f>
        <v>0</v>
      </c>
      <c r="L16" s="46" t="s">
        <v>120</v>
      </c>
      <c r="M16" s="614">
        <f>IFERROR('施設規模の設定（いしかわモデル）'!G17/E16,0)</f>
        <v>0</v>
      </c>
      <c r="N16" s="500" t="s">
        <v>1</v>
      </c>
      <c r="O16" s="81">
        <f>+⑤基本情報入力!$Y$61</f>
        <v>0.1</v>
      </c>
      <c r="P16" s="82">
        <f>+⑤基本情報入力!$AB$61</f>
        <v>2.3E-2</v>
      </c>
      <c r="Q16" s="83">
        <f>+⑤基本情報入力!$AE$61</f>
        <v>20</v>
      </c>
      <c r="R16" s="74"/>
    </row>
    <row r="17" spans="1:22" ht="15.75">
      <c r="B17" s="1417"/>
      <c r="C17" s="586" t="s">
        <v>16</v>
      </c>
      <c r="D17" s="589"/>
      <c r="E17" s="357">
        <v>1</v>
      </c>
      <c r="F17" s="338" t="s">
        <v>3</v>
      </c>
      <c r="G17" s="46" t="s">
        <v>11</v>
      </c>
      <c r="H17" s="46" t="s">
        <v>788</v>
      </c>
      <c r="I17" s="612">
        <f t="shared" si="0"/>
        <v>0</v>
      </c>
      <c r="J17" s="46" t="s">
        <v>124</v>
      </c>
      <c r="K17" s="613">
        <f>0.878*M17^0.761*E17</f>
        <v>0</v>
      </c>
      <c r="L17" s="46" t="s">
        <v>120</v>
      </c>
      <c r="M17" s="614">
        <f>IFERROR('施設規模の設定（いしかわモデル）'!G18/E17,0)</f>
        <v>0</v>
      </c>
      <c r="N17" s="339" t="s">
        <v>298</v>
      </c>
      <c r="O17" s="81">
        <f>+⑤基本情報入力!$Y$61</f>
        <v>0.1</v>
      </c>
      <c r="P17" s="82">
        <f>+⑤基本情報入力!$AB$61</f>
        <v>2.3E-2</v>
      </c>
      <c r="Q17" s="83">
        <f>+⑤基本情報入力!$AE$61</f>
        <v>20</v>
      </c>
      <c r="R17" s="74" t="s">
        <v>252</v>
      </c>
    </row>
    <row r="18" spans="1:22" ht="15.75">
      <c r="A18" s="58"/>
      <c r="B18" s="1417"/>
      <c r="C18" s="1509" t="s">
        <v>10</v>
      </c>
      <c r="D18" s="1506"/>
      <c r="E18" s="357" t="str">
        <f>IF(⑤基本情報入力!E94="〇","1","0")</f>
        <v>0</v>
      </c>
      <c r="F18" s="338" t="s">
        <v>3</v>
      </c>
      <c r="G18" s="46" t="s">
        <v>11</v>
      </c>
      <c r="H18" s="46" t="s">
        <v>779</v>
      </c>
      <c r="I18" s="612">
        <f t="shared" si="0"/>
        <v>0</v>
      </c>
      <c r="J18" s="46" t="s">
        <v>124</v>
      </c>
      <c r="K18" s="613">
        <f>31.9*M18^0.971*E18</f>
        <v>0</v>
      </c>
      <c r="L18" s="46" t="s">
        <v>120</v>
      </c>
      <c r="M18" s="612">
        <f>IFERROR('施設規模の設定（いしかわモデル）'!G22/E18,0)</f>
        <v>0</v>
      </c>
      <c r="N18" s="574" t="s">
        <v>0</v>
      </c>
      <c r="O18" s="81">
        <f>+⑤基本情報入力!$Y$61</f>
        <v>0.1</v>
      </c>
      <c r="P18" s="82">
        <f>+⑤基本情報入力!$AB$61</f>
        <v>2.3E-2</v>
      </c>
      <c r="Q18" s="83">
        <f>+⑤基本情報入力!$AE$61</f>
        <v>20</v>
      </c>
      <c r="R18" s="72" t="s">
        <v>253</v>
      </c>
    </row>
    <row r="19" spans="1:22" ht="15.75" customHeight="1">
      <c r="A19" s="58"/>
      <c r="B19" s="1417"/>
      <c r="C19" s="1510"/>
      <c r="D19" s="1507"/>
      <c r="E19" s="521" t="str">
        <f>IF(⑤基本情報入力!E94="〇","1","0")</f>
        <v>0</v>
      </c>
      <c r="F19" s="338" t="s">
        <v>4</v>
      </c>
      <c r="G19" s="46" t="s">
        <v>11</v>
      </c>
      <c r="H19" s="46" t="s">
        <v>789</v>
      </c>
      <c r="I19" s="612">
        <f t="shared" si="0"/>
        <v>0</v>
      </c>
      <c r="J19" s="46" t="s">
        <v>124</v>
      </c>
      <c r="K19" s="613">
        <f>6.59*M19^0.809*E19</f>
        <v>0</v>
      </c>
      <c r="L19" s="46" t="s">
        <v>120</v>
      </c>
      <c r="M19" s="612">
        <f>+M18</f>
        <v>0</v>
      </c>
      <c r="N19" s="339" t="s">
        <v>0</v>
      </c>
      <c r="O19" s="81">
        <f>+⑤基本情報入力!$Y$62</f>
        <v>0.1</v>
      </c>
      <c r="P19" s="84">
        <f>+⑤基本情報入力!$AB$62</f>
        <v>2.3E-2</v>
      </c>
      <c r="Q19" s="83">
        <f>+⑤基本情報入力!$AE$62</f>
        <v>15</v>
      </c>
      <c r="R19" s="72"/>
    </row>
    <row r="20" spans="1:22" ht="15.75">
      <c r="A20" s="58"/>
      <c r="B20" s="1417"/>
      <c r="C20" s="1511"/>
      <c r="D20" s="1512"/>
      <c r="E20" s="521" t="str">
        <f>IF(⑤基本情報入力!E94="〇","1","0")</f>
        <v>0</v>
      </c>
      <c r="F20" s="338" t="s">
        <v>5</v>
      </c>
      <c r="G20" s="46" t="s">
        <v>11</v>
      </c>
      <c r="H20" s="46" t="s">
        <v>790</v>
      </c>
      <c r="I20" s="612">
        <f t="shared" si="0"/>
        <v>0</v>
      </c>
      <c r="J20" s="46" t="s">
        <v>124</v>
      </c>
      <c r="K20" s="613">
        <f>12.3*M20^0.941*E20</f>
        <v>0</v>
      </c>
      <c r="L20" s="46" t="s">
        <v>120</v>
      </c>
      <c r="M20" s="612">
        <f>+M18</f>
        <v>0</v>
      </c>
      <c r="N20" s="339" t="s">
        <v>0</v>
      </c>
      <c r="O20" s="81">
        <f>+⑤基本情報入力!$Y$63</f>
        <v>0.1</v>
      </c>
      <c r="P20" s="84">
        <f>+⑤基本情報入力!$AB$63</f>
        <v>2.3E-2</v>
      </c>
      <c r="Q20" s="83">
        <f>+⑤基本情報入力!$AE$63</f>
        <v>40</v>
      </c>
      <c r="R20" s="72"/>
    </row>
    <row r="21" spans="1:22" ht="15.75">
      <c r="A21" s="58"/>
      <c r="B21" s="1417"/>
      <c r="C21" s="607" t="s">
        <v>522</v>
      </c>
      <c r="D21" s="608" t="s">
        <v>564</v>
      </c>
      <c r="E21" s="359" t="str">
        <f>+IF(⑤基本情報入力!E98="〇","1","0")</f>
        <v>0</v>
      </c>
      <c r="F21" s="338" t="s">
        <v>3</v>
      </c>
      <c r="G21" s="46" t="s">
        <v>11</v>
      </c>
      <c r="H21" s="46" t="s">
        <v>802</v>
      </c>
      <c r="I21" s="612">
        <f>K21*(1-O21)*(P21+P21/((P21+1)^Q21-1))</f>
        <v>0</v>
      </c>
      <c r="J21" s="46" t="s">
        <v>124</v>
      </c>
      <c r="K21" s="613">
        <f>65*(M21/102)^0.6*E21</f>
        <v>0</v>
      </c>
      <c r="L21" s="46" t="s">
        <v>120</v>
      </c>
      <c r="M21" s="612">
        <f>IFERROR(SUM('物質収支（いしかわモデル）'!I59:O59)/24*1000,0)</f>
        <v>0</v>
      </c>
      <c r="N21" s="574" t="s">
        <v>799</v>
      </c>
      <c r="O21" s="81">
        <f>+⑤基本情報入力!$Y$61</f>
        <v>0.1</v>
      </c>
      <c r="P21" s="82">
        <f>+⑤基本情報入力!$AB$61</f>
        <v>2.3E-2</v>
      </c>
      <c r="Q21" s="83">
        <f>U28</f>
        <v>10</v>
      </c>
      <c r="R21" s="72" t="s">
        <v>800</v>
      </c>
      <c r="T21" s="58" t="s">
        <v>528</v>
      </c>
    </row>
    <row r="22" spans="1:22" ht="29.25">
      <c r="A22" s="58"/>
      <c r="B22" s="1417"/>
      <c r="C22" s="1513" t="s">
        <v>254</v>
      </c>
      <c r="D22" s="1506"/>
      <c r="E22" s="359">
        <v>1</v>
      </c>
      <c r="F22" s="338" t="s">
        <v>3</v>
      </c>
      <c r="G22" s="611" t="s">
        <v>11</v>
      </c>
      <c r="H22" s="629" t="s">
        <v>797</v>
      </c>
      <c r="I22" s="612">
        <f t="shared" si="0"/>
        <v>0</v>
      </c>
      <c r="J22" s="46" t="s">
        <v>124</v>
      </c>
      <c r="K22" s="615" t="str">
        <f>IF(AND(M22&gt;30,M22&lt;=200),137.2*M22^0.195*E22,IF(AND(M22&gt;0,M22&lt;=30),70*E22,"0"))</f>
        <v>0</v>
      </c>
      <c r="L22" s="46" t="s">
        <v>120</v>
      </c>
      <c r="M22" s="612">
        <f>IFERROR(('計算条件（いしかわモデル）'!H46+'計算条件（いしかわモデル）'!H51)/E22,0)</f>
        <v>0</v>
      </c>
      <c r="N22" s="339" t="s">
        <v>255</v>
      </c>
      <c r="O22" s="81">
        <f>+⑤基本情報入力!$Y$61</f>
        <v>0.1</v>
      </c>
      <c r="P22" s="82">
        <f>+⑤基本情報入力!$AB$61</f>
        <v>2.3E-2</v>
      </c>
      <c r="Q22" s="83">
        <f>+⑤基本情報入力!$AE$61</f>
        <v>20</v>
      </c>
      <c r="R22" s="72" t="s">
        <v>798</v>
      </c>
      <c r="T22" s="72" t="s">
        <v>523</v>
      </c>
      <c r="U22" s="72">
        <v>4.09</v>
      </c>
      <c r="V22" s="72" t="s">
        <v>69</v>
      </c>
    </row>
    <row r="23" spans="1:22" ht="15.75">
      <c r="A23" s="58"/>
      <c r="B23" s="1417"/>
      <c r="C23" s="1533"/>
      <c r="D23" s="1507"/>
      <c r="E23" s="359">
        <v>1</v>
      </c>
      <c r="F23" s="338" t="s">
        <v>4</v>
      </c>
      <c r="G23" s="46" t="s">
        <v>11</v>
      </c>
      <c r="H23" s="46" t="s">
        <v>791</v>
      </c>
      <c r="I23" s="612">
        <f t="shared" si="0"/>
        <v>0</v>
      </c>
      <c r="J23" s="46" t="s">
        <v>124</v>
      </c>
      <c r="K23" s="613">
        <f>36.5*M23^0.232*E23</f>
        <v>0</v>
      </c>
      <c r="L23" s="46" t="s">
        <v>120</v>
      </c>
      <c r="M23" s="612">
        <f>+M22</f>
        <v>0</v>
      </c>
      <c r="N23" s="339" t="s">
        <v>255</v>
      </c>
      <c r="O23" s="81">
        <f>+⑤基本情報入力!$Y$62</f>
        <v>0.1</v>
      </c>
      <c r="P23" s="84">
        <f>+⑤基本情報入力!$AB$62</f>
        <v>2.3E-2</v>
      </c>
      <c r="Q23" s="83">
        <f>+⑤基本情報入力!$AE$62</f>
        <v>15</v>
      </c>
      <c r="R23" s="72" t="s">
        <v>256</v>
      </c>
      <c r="T23" s="72" t="s">
        <v>218</v>
      </c>
      <c r="U23" s="72">
        <v>0.62</v>
      </c>
      <c r="V23" s="72" t="s">
        <v>69</v>
      </c>
    </row>
    <row r="24" spans="1:22" ht="15.75">
      <c r="A24" s="58"/>
      <c r="B24" s="1417"/>
      <c r="C24" s="1533"/>
      <c r="D24" s="1512"/>
      <c r="E24" s="359">
        <v>1</v>
      </c>
      <c r="F24" s="338" t="s">
        <v>8</v>
      </c>
      <c r="G24" s="46" t="s">
        <v>11</v>
      </c>
      <c r="H24" s="46" t="s">
        <v>792</v>
      </c>
      <c r="I24" s="612">
        <f t="shared" si="0"/>
        <v>0</v>
      </c>
      <c r="J24" s="46" t="s">
        <v>124</v>
      </c>
      <c r="K24" s="613">
        <f>117.2*M24^0.111*E24</f>
        <v>0</v>
      </c>
      <c r="L24" s="46" t="s">
        <v>120</v>
      </c>
      <c r="M24" s="612">
        <f>+M22</f>
        <v>0</v>
      </c>
      <c r="N24" s="339" t="s">
        <v>255</v>
      </c>
      <c r="O24" s="81">
        <f>+⑤基本情報入力!$Y$63</f>
        <v>0.1</v>
      </c>
      <c r="P24" s="84">
        <f>+⑤基本情報入力!$AB$63</f>
        <v>2.3E-2</v>
      </c>
      <c r="Q24" s="83">
        <f>+⑤基本情報入力!$AE$63</f>
        <v>40</v>
      </c>
      <c r="R24" s="72"/>
      <c r="T24" s="72"/>
      <c r="U24" s="325">
        <f>U23/U22</f>
        <v>0.15158924205378974</v>
      </c>
      <c r="V24" s="72"/>
    </row>
    <row r="25" spans="1:22" ht="15.75">
      <c r="A25" s="58"/>
      <c r="B25" s="1417"/>
      <c r="C25" s="1501" t="s">
        <v>257</v>
      </c>
      <c r="D25" s="1500"/>
      <c r="E25" s="357">
        <v>1</v>
      </c>
      <c r="F25" s="338" t="s">
        <v>3</v>
      </c>
      <c r="G25" s="46" t="s">
        <v>11</v>
      </c>
      <c r="H25" s="46" t="s">
        <v>793</v>
      </c>
      <c r="I25" s="612">
        <f t="shared" si="0"/>
        <v>0</v>
      </c>
      <c r="J25" s="46" t="s">
        <v>124</v>
      </c>
      <c r="K25" s="613">
        <f>98.6*M25^0.475*E25</f>
        <v>0</v>
      </c>
      <c r="L25" s="46" t="s">
        <v>120</v>
      </c>
      <c r="M25" s="612">
        <f>IFERROR('計算条件（いしかわモデル）'!H61/E25,0)</f>
        <v>0</v>
      </c>
      <c r="N25" s="339" t="s">
        <v>0</v>
      </c>
      <c r="O25" s="81">
        <f>+⑤基本情報入力!$Y$61</f>
        <v>0.1</v>
      </c>
      <c r="P25" s="82">
        <f>+⑤基本情報入力!$AB$61</f>
        <v>2.3E-2</v>
      </c>
      <c r="Q25" s="83">
        <f>+⑤基本情報入力!$AE$61</f>
        <v>20</v>
      </c>
      <c r="R25" s="72" t="s">
        <v>258</v>
      </c>
      <c r="T25" s="72" t="s">
        <v>524</v>
      </c>
      <c r="U25" s="86">
        <f>U22*U24*100</f>
        <v>62</v>
      </c>
      <c r="V25" s="72"/>
    </row>
    <row r="26" spans="1:22" ht="15.75">
      <c r="A26" s="58"/>
      <c r="B26" s="1417"/>
      <c r="C26" s="1501"/>
      <c r="D26" s="1500"/>
      <c r="E26" s="357">
        <v>1</v>
      </c>
      <c r="F26" s="338" t="s">
        <v>4</v>
      </c>
      <c r="G26" s="46" t="s">
        <v>11</v>
      </c>
      <c r="H26" s="46" t="s">
        <v>794</v>
      </c>
      <c r="I26" s="612">
        <f t="shared" si="0"/>
        <v>0</v>
      </c>
      <c r="J26" s="46" t="s">
        <v>124</v>
      </c>
      <c r="K26" s="613">
        <f>29.6*M26^0.512*E26</f>
        <v>0</v>
      </c>
      <c r="L26" s="46" t="s">
        <v>120</v>
      </c>
      <c r="M26" s="612">
        <f>+M25</f>
        <v>0</v>
      </c>
      <c r="N26" s="339" t="s">
        <v>0</v>
      </c>
      <c r="O26" s="81">
        <f>+⑤基本情報入力!$Y$62</f>
        <v>0.1</v>
      </c>
      <c r="P26" s="84">
        <f>+⑤基本情報入力!$AB$62</f>
        <v>2.3E-2</v>
      </c>
      <c r="Q26" s="83">
        <f>+⑤基本情報入力!$AE$62</f>
        <v>15</v>
      </c>
      <c r="R26" s="72"/>
      <c r="T26" s="72" t="s">
        <v>525</v>
      </c>
      <c r="U26" s="72">
        <v>1.9810000000000001</v>
      </c>
      <c r="V26" s="72" t="s">
        <v>120</v>
      </c>
    </row>
    <row r="27" spans="1:22" ht="15.75">
      <c r="A27" s="58"/>
      <c r="B27" s="1417"/>
      <c r="C27" s="1501"/>
      <c r="D27" s="1500"/>
      <c r="E27" s="357">
        <v>1</v>
      </c>
      <c r="F27" s="338" t="s">
        <v>5</v>
      </c>
      <c r="G27" s="46" t="s">
        <v>11</v>
      </c>
      <c r="H27" s="46" t="s">
        <v>795</v>
      </c>
      <c r="I27" s="612">
        <f t="shared" si="0"/>
        <v>0</v>
      </c>
      <c r="J27" s="46" t="s">
        <v>124</v>
      </c>
      <c r="K27" s="613">
        <f>22.4*M27^0.504*E27</f>
        <v>0</v>
      </c>
      <c r="L27" s="46" t="s">
        <v>120</v>
      </c>
      <c r="M27" s="612">
        <f>+M25</f>
        <v>0</v>
      </c>
      <c r="N27" s="339" t="s">
        <v>0</v>
      </c>
      <c r="O27" s="81">
        <f>+⑤基本情報入力!$Y$63</f>
        <v>0.1</v>
      </c>
      <c r="P27" s="84">
        <f>+⑤基本情報入力!$AB$63</f>
        <v>2.3E-2</v>
      </c>
      <c r="Q27" s="83">
        <f>+⑤基本情報入力!$AE$63</f>
        <v>40</v>
      </c>
      <c r="R27" s="72"/>
      <c r="T27" s="72" t="s">
        <v>211</v>
      </c>
      <c r="U27" s="72">
        <f>ROUND(U26/U25*1000,0)</f>
        <v>32</v>
      </c>
      <c r="V27" s="72" t="s">
        <v>773</v>
      </c>
    </row>
    <row r="28" spans="1:22" ht="15.75">
      <c r="A28" s="58"/>
      <c r="B28" s="1417"/>
      <c r="C28" s="1509"/>
      <c r="D28" s="1506"/>
      <c r="E28" s="580">
        <v>1</v>
      </c>
      <c r="F28" s="340" t="s">
        <v>6</v>
      </c>
      <c r="G28" s="616" t="s">
        <v>11</v>
      </c>
      <c r="H28" s="616" t="s">
        <v>796</v>
      </c>
      <c r="I28" s="617">
        <f t="shared" ref="I28:I32" si="2">K28*(1-O28)*(P28+P28/((P28+1)^Q28-1))</f>
        <v>0</v>
      </c>
      <c r="J28" s="616" t="s">
        <v>124</v>
      </c>
      <c r="K28" s="618">
        <f>75.9*M28^0.342*E28</f>
        <v>0</v>
      </c>
      <c r="L28" s="616" t="s">
        <v>120</v>
      </c>
      <c r="M28" s="617">
        <f>+M25</f>
        <v>0</v>
      </c>
      <c r="N28" s="341" t="s">
        <v>0</v>
      </c>
      <c r="O28" s="81">
        <f>+⑤基本情報入力!$Y$63</f>
        <v>0.1</v>
      </c>
      <c r="P28" s="84">
        <f>+⑤基本情報入力!$AB$63</f>
        <v>2.3E-2</v>
      </c>
      <c r="Q28" s="83">
        <f>+⑤基本情報入力!$AE$63</f>
        <v>40</v>
      </c>
      <c r="R28" s="97"/>
      <c r="T28" s="439" t="s">
        <v>566</v>
      </c>
      <c r="U28" s="440">
        <v>10</v>
      </c>
      <c r="V28" s="439" t="s">
        <v>567</v>
      </c>
    </row>
    <row r="29" spans="1:22" hidden="1">
      <c r="A29" s="58"/>
      <c r="B29" s="1417"/>
      <c r="C29" s="1502" t="s">
        <v>414</v>
      </c>
      <c r="D29" s="1500"/>
      <c r="E29" s="357"/>
      <c r="F29" s="78" t="s">
        <v>415</v>
      </c>
      <c r="G29" s="46" t="s">
        <v>11</v>
      </c>
      <c r="H29" s="46" t="s">
        <v>625</v>
      </c>
      <c r="I29" s="612">
        <f t="shared" si="2"/>
        <v>0</v>
      </c>
      <c r="J29" s="46" t="s">
        <v>124</v>
      </c>
      <c r="K29" s="613">
        <f>1.3132*M29*E29</f>
        <v>0</v>
      </c>
      <c r="L29" s="46" t="s">
        <v>120</v>
      </c>
      <c r="M29" s="612">
        <f>'物質収支（いしかわモデル）'!X87/24</f>
        <v>0</v>
      </c>
      <c r="N29" s="1221" t="s">
        <v>425</v>
      </c>
      <c r="O29" s="81">
        <f>+⑤基本情報入力!$Y$61</f>
        <v>0.1</v>
      </c>
      <c r="P29" s="82">
        <f>+⑤基本情報入力!$AB$61</f>
        <v>2.3E-2</v>
      </c>
      <c r="Q29" s="83">
        <f>+⑤基本情報入力!$AE$61</f>
        <v>20</v>
      </c>
      <c r="R29" s="72" t="s">
        <v>417</v>
      </c>
    </row>
    <row r="30" spans="1:22" hidden="1">
      <c r="A30" s="58"/>
      <c r="B30" s="1417"/>
      <c r="C30" s="1502"/>
      <c r="D30" s="1500"/>
      <c r="E30" s="521"/>
      <c r="F30" s="78" t="s">
        <v>5</v>
      </c>
      <c r="G30" s="46" t="s">
        <v>11</v>
      </c>
      <c r="H30" s="46" t="s">
        <v>626</v>
      </c>
      <c r="I30" s="612">
        <f t="shared" si="2"/>
        <v>0</v>
      </c>
      <c r="J30" s="46" t="s">
        <v>124</v>
      </c>
      <c r="K30" s="613">
        <f>(0.0263*M30+5.8284)*E30</f>
        <v>0</v>
      </c>
      <c r="L30" s="46" t="s">
        <v>120</v>
      </c>
      <c r="M30" s="612">
        <f>'物質収支（いしかわモデル）'!X87/24</f>
        <v>0</v>
      </c>
      <c r="N30" s="1221"/>
      <c r="O30" s="81">
        <f>+⑤基本情報入力!$Y$63</f>
        <v>0.1</v>
      </c>
      <c r="P30" s="84">
        <f>+⑤基本情報入力!$AB$63</f>
        <v>2.3E-2</v>
      </c>
      <c r="Q30" s="83">
        <f>+⑤基本情報入力!$AE$63</f>
        <v>40</v>
      </c>
      <c r="R30" s="72" t="s">
        <v>417</v>
      </c>
    </row>
    <row r="31" spans="1:22" s="637" customFormat="1" ht="15.75">
      <c r="B31" s="1417"/>
      <c r="C31" s="626" t="s">
        <v>609</v>
      </c>
      <c r="D31" s="625" t="s">
        <v>610</v>
      </c>
      <c r="E31" s="638" t="str">
        <f>IF(⑤基本情報入力!E93="〇","1","0")</f>
        <v>0</v>
      </c>
      <c r="F31" s="627" t="s">
        <v>415</v>
      </c>
      <c r="G31" s="46" t="s">
        <v>11</v>
      </c>
      <c r="H31" s="590" t="s">
        <v>816</v>
      </c>
      <c r="I31" s="617">
        <f t="shared" si="2"/>
        <v>0</v>
      </c>
      <c r="J31" s="46" t="s">
        <v>124</v>
      </c>
      <c r="K31" s="613">
        <f>0.4129*M31^0.7982*E31</f>
        <v>0</v>
      </c>
      <c r="L31" s="46" t="s">
        <v>120</v>
      </c>
      <c r="M31" s="619">
        <f>+'物質収支（いしかわモデル）'!X33</f>
        <v>0</v>
      </c>
      <c r="N31" s="623" t="s">
        <v>164</v>
      </c>
      <c r="O31" s="639">
        <f>+⑤基本情報入力!$Y$63</f>
        <v>0.1</v>
      </c>
      <c r="P31" s="640">
        <f>+⑤基本情報入力!$AB$63</f>
        <v>2.3E-2</v>
      </c>
      <c r="Q31" s="31">
        <f>⑤基本情報入力!$AE$61</f>
        <v>20</v>
      </c>
      <c r="R31" s="628" t="s">
        <v>613</v>
      </c>
    </row>
    <row r="32" spans="1:22" ht="15.75">
      <c r="A32" s="58"/>
      <c r="B32" s="1417"/>
      <c r="C32" s="587" t="s">
        <v>604</v>
      </c>
      <c r="D32" s="609" t="s">
        <v>606</v>
      </c>
      <c r="E32" s="610">
        <v>1</v>
      </c>
      <c r="F32" s="78" t="s">
        <v>607</v>
      </c>
      <c r="G32" s="620" t="s">
        <v>271</v>
      </c>
      <c r="H32" s="611" t="s">
        <v>808</v>
      </c>
      <c r="I32" s="617">
        <f t="shared" si="2"/>
        <v>0</v>
      </c>
      <c r="J32" s="46" t="s">
        <v>124</v>
      </c>
      <c r="K32" s="613">
        <f>0.69*M32*E32</f>
        <v>0</v>
      </c>
      <c r="L32" s="616" t="s">
        <v>120</v>
      </c>
      <c r="M32" s="619">
        <f>IFERROR('物質収支（いしかわモデル）'!X83*100/E7,0)</f>
        <v>0</v>
      </c>
      <c r="N32" s="511" t="s">
        <v>243</v>
      </c>
      <c r="O32" s="81">
        <f>+⑤基本情報入力!$Y$62</f>
        <v>0.1</v>
      </c>
      <c r="P32" s="84">
        <f>+⑤基本情報入力!$AB$62</f>
        <v>2.3E-2</v>
      </c>
      <c r="Q32" s="83">
        <f>⑤基本情報入力!$AE$61</f>
        <v>20</v>
      </c>
      <c r="R32" s="72" t="s">
        <v>639</v>
      </c>
    </row>
    <row r="33" spans="1:18" ht="15.75">
      <c r="A33" s="58"/>
      <c r="B33" s="1417"/>
      <c r="C33" s="587" t="s">
        <v>605</v>
      </c>
      <c r="D33" s="609"/>
      <c r="E33" s="610">
        <v>1</v>
      </c>
      <c r="F33" s="78" t="s">
        <v>608</v>
      </c>
      <c r="G33" s="620" t="s">
        <v>271</v>
      </c>
      <c r="H33" s="611" t="s">
        <v>809</v>
      </c>
      <c r="I33" s="617">
        <f>K33*(1-O33)*(P33+P33/((P33+1)^Q33-1))</f>
        <v>0</v>
      </c>
      <c r="J33" s="46" t="s">
        <v>124</v>
      </c>
      <c r="K33" s="613">
        <f>0.29*M33*E33</f>
        <v>0</v>
      </c>
      <c r="L33" s="46" t="s">
        <v>120</v>
      </c>
      <c r="M33" s="619">
        <f>IFERROR('物質収支（いしかわモデル）'!X83*100/E7,0)</f>
        <v>0</v>
      </c>
      <c r="N33" s="511" t="s">
        <v>243</v>
      </c>
      <c r="O33" s="81">
        <f>+⑤基本情報入力!$Y$63</f>
        <v>0.1</v>
      </c>
      <c r="P33" s="84">
        <f>+⑤基本情報入力!$AB$63</f>
        <v>2.3E-2</v>
      </c>
      <c r="Q33" s="83">
        <f>⑤基本情報入力!$AE$62</f>
        <v>15</v>
      </c>
      <c r="R33" s="72" t="s">
        <v>638</v>
      </c>
    </row>
    <row r="34" spans="1:18" ht="15.75">
      <c r="A34" s="58"/>
      <c r="B34" s="1417"/>
      <c r="C34" s="1503" t="s">
        <v>310</v>
      </c>
      <c r="D34" s="1506"/>
      <c r="E34" s="357">
        <v>0</v>
      </c>
      <c r="F34" s="338" t="s">
        <v>3</v>
      </c>
      <c r="G34" s="144" t="s">
        <v>11</v>
      </c>
      <c r="H34" s="72" t="s">
        <v>627</v>
      </c>
      <c r="I34" s="94">
        <f t="shared" si="0"/>
        <v>0</v>
      </c>
      <c r="J34" s="97" t="s">
        <v>124</v>
      </c>
      <c r="K34" s="69">
        <f>188.8*M34^0.597*E34</f>
        <v>0</v>
      </c>
      <c r="L34" s="97" t="s">
        <v>120</v>
      </c>
      <c r="M34" s="80">
        <f>IFERROR('施設規模の設定（いしかわモデル）'!G22/E34,0)</f>
        <v>0</v>
      </c>
      <c r="N34" s="341" t="s">
        <v>0</v>
      </c>
      <c r="O34" s="81">
        <f>+⑤基本情報入力!$Y$61</f>
        <v>0.1</v>
      </c>
      <c r="P34" s="82">
        <f>+⑤基本情報入力!$AB$61</f>
        <v>2.3E-2</v>
      </c>
      <c r="Q34" s="83">
        <f>+⑤基本情報入力!$AE$61</f>
        <v>20</v>
      </c>
      <c r="R34" s="72" t="s">
        <v>316</v>
      </c>
    </row>
    <row r="35" spans="1:18" ht="15.75">
      <c r="A35" s="58"/>
      <c r="B35" s="1417"/>
      <c r="C35" s="1504"/>
      <c r="D35" s="1507"/>
      <c r="E35" s="357">
        <v>0</v>
      </c>
      <c r="F35" s="338" t="s">
        <v>4</v>
      </c>
      <c r="G35" s="144" t="s">
        <v>11</v>
      </c>
      <c r="H35" s="72" t="s">
        <v>628</v>
      </c>
      <c r="I35" s="94">
        <f t="shared" si="0"/>
        <v>0</v>
      </c>
      <c r="J35" s="97" t="s">
        <v>124</v>
      </c>
      <c r="K35" s="69">
        <f>72.6*M35^0.539*E35</f>
        <v>0</v>
      </c>
      <c r="L35" s="97" t="s">
        <v>120</v>
      </c>
      <c r="M35" s="80">
        <f>+M34</f>
        <v>0</v>
      </c>
      <c r="N35" s="341" t="s">
        <v>0</v>
      </c>
      <c r="O35" s="81">
        <f>+⑤基本情報入力!$Y$62</f>
        <v>0.1</v>
      </c>
      <c r="P35" s="84">
        <f>+⑤基本情報入力!$AB$62</f>
        <v>2.3E-2</v>
      </c>
      <c r="Q35" s="83">
        <f>+⑤基本情報入力!$AE$62</f>
        <v>15</v>
      </c>
      <c r="R35" s="72"/>
    </row>
    <row r="36" spans="1:18" ht="16.5" thickBot="1">
      <c r="A36" s="58"/>
      <c r="B36" s="1417"/>
      <c r="C36" s="1505"/>
      <c r="D36" s="1508"/>
      <c r="E36" s="116">
        <v>0</v>
      </c>
      <c r="F36" s="344" t="s">
        <v>8</v>
      </c>
      <c r="G36" s="87" t="s">
        <v>11</v>
      </c>
      <c r="H36" s="88" t="s">
        <v>629</v>
      </c>
      <c r="I36" s="89">
        <f t="shared" si="0"/>
        <v>0</v>
      </c>
      <c r="J36" s="88" t="s">
        <v>124</v>
      </c>
      <c r="K36" s="90">
        <f>136.1*M36^0.38*E36</f>
        <v>0</v>
      </c>
      <c r="L36" s="88" t="s">
        <v>120</v>
      </c>
      <c r="M36" s="89">
        <f>+M34</f>
        <v>0</v>
      </c>
      <c r="N36" s="343" t="s">
        <v>0</v>
      </c>
      <c r="O36" s="91">
        <f>+⑤基本情報入力!$Y$63</f>
        <v>0.1</v>
      </c>
      <c r="P36" s="92">
        <f>+⑤基本情報入力!$AB$63</f>
        <v>2.3E-2</v>
      </c>
      <c r="Q36" s="93">
        <f>+⑤基本情報入力!$AE$63</f>
        <v>40</v>
      </c>
      <c r="R36" s="88"/>
    </row>
    <row r="37" spans="1:18" ht="14.25" thickTop="1">
      <c r="A37" s="58"/>
      <c r="B37" s="1418"/>
      <c r="C37" s="1427" t="s">
        <v>259</v>
      </c>
      <c r="D37" s="1428"/>
      <c r="E37" s="1428"/>
      <c r="F37" s="1428"/>
      <c r="G37" s="1428"/>
      <c r="H37" s="1429"/>
      <c r="I37" s="126">
        <f>SUM(I5:I36)</f>
        <v>0</v>
      </c>
      <c r="J37" s="95" t="s">
        <v>124</v>
      </c>
      <c r="K37" s="143">
        <f>SUM(K5,K7,K9:K36)</f>
        <v>0</v>
      </c>
      <c r="L37" s="142" t="s">
        <v>120</v>
      </c>
      <c r="M37" s="98"/>
      <c r="N37" s="336"/>
      <c r="O37" s="99"/>
      <c r="P37" s="100"/>
      <c r="Q37" s="101"/>
      <c r="R37" s="101"/>
    </row>
    <row r="38" spans="1:18">
      <c r="A38" s="58"/>
      <c r="B38" s="335" t="s">
        <v>260</v>
      </c>
      <c r="C38" s="334" t="s">
        <v>231</v>
      </c>
      <c r="D38" s="334" t="s">
        <v>232</v>
      </c>
      <c r="E38" s="334" t="s">
        <v>233</v>
      </c>
      <c r="F38" s="334" t="s">
        <v>261</v>
      </c>
      <c r="G38" s="1432" t="s">
        <v>235</v>
      </c>
      <c r="H38" s="1432"/>
      <c r="I38" s="1432" t="s">
        <v>237</v>
      </c>
      <c r="J38" s="1432"/>
      <c r="K38" s="1433" t="s">
        <v>291</v>
      </c>
      <c r="L38" s="1433"/>
      <c r="M38" s="1432" t="s">
        <v>97</v>
      </c>
      <c r="N38" s="1432"/>
      <c r="O38" s="1432"/>
      <c r="P38" s="1432"/>
      <c r="Q38" s="1432"/>
      <c r="R38" s="1432"/>
    </row>
    <row r="39" spans="1:18" ht="15.75">
      <c r="A39" s="58"/>
      <c r="B39" s="1420"/>
      <c r="C39" s="1423" t="s">
        <v>241</v>
      </c>
      <c r="D39" s="339" t="s">
        <v>242</v>
      </c>
      <c r="E39" s="357">
        <f>IF(⑤基本情報入力!E53:I53=0,1,⑤基本情報入力!E53)</f>
        <v>1</v>
      </c>
      <c r="F39" s="78" t="s">
        <v>262</v>
      </c>
      <c r="G39" s="79" t="s">
        <v>11</v>
      </c>
      <c r="H39" s="72" t="s">
        <v>630</v>
      </c>
      <c r="I39" s="80">
        <f>0.03*K39^0.628*E39</f>
        <v>0</v>
      </c>
      <c r="J39" s="72" t="s">
        <v>124</v>
      </c>
      <c r="K39" s="80">
        <f>IFERROR('計算条件（いしかわモデル）'!G7/E39,0)</f>
        <v>0</v>
      </c>
      <c r="L39" s="339" t="s">
        <v>243</v>
      </c>
      <c r="M39" s="1217" t="s">
        <v>263</v>
      </c>
      <c r="N39" s="1218"/>
      <c r="O39" s="1218"/>
      <c r="P39" s="1218"/>
      <c r="Q39" s="1218"/>
      <c r="R39" s="1422"/>
    </row>
    <row r="40" spans="1:18" ht="15.75">
      <c r="A40" s="58"/>
      <c r="B40" s="1420"/>
      <c r="C40" s="1453"/>
      <c r="D40" s="500" t="s">
        <v>614</v>
      </c>
      <c r="E40" s="505"/>
      <c r="F40" s="78" t="s">
        <v>262</v>
      </c>
      <c r="G40" s="79" t="s">
        <v>11</v>
      </c>
      <c r="H40" s="72" t="s">
        <v>631</v>
      </c>
      <c r="I40" s="80">
        <f>0.03*K40^0.628*E40</f>
        <v>0</v>
      </c>
      <c r="J40" s="72" t="s">
        <v>124</v>
      </c>
      <c r="K40" s="80">
        <f>IFERROR('計算条件（いしかわモデル）'!G8/E40,0)</f>
        <v>0</v>
      </c>
      <c r="L40" s="500" t="s">
        <v>243</v>
      </c>
      <c r="M40" s="502"/>
      <c r="N40" s="503"/>
      <c r="O40" s="503"/>
      <c r="P40" s="503"/>
      <c r="Q40" s="503"/>
      <c r="R40" s="504"/>
    </row>
    <row r="41" spans="1:18" ht="15.75">
      <c r="B41" s="1420"/>
      <c r="C41" s="338" t="s">
        <v>22</v>
      </c>
      <c r="D41" s="339"/>
      <c r="E41" s="357">
        <f>IF(⑤基本情報入力!E54:I54=0,1,⑤基本情報入力!E54)</f>
        <v>1</v>
      </c>
      <c r="F41" s="78" t="s">
        <v>264</v>
      </c>
      <c r="G41" s="79" t="s">
        <v>11</v>
      </c>
      <c r="H41" s="72" t="s">
        <v>142</v>
      </c>
      <c r="I41" s="80">
        <f>0.039*K41^0.596*E41</f>
        <v>0</v>
      </c>
      <c r="J41" s="72" t="s">
        <v>124</v>
      </c>
      <c r="K41" s="80">
        <f>IFERROR('物質収支（いしかわモデル）'!X32*100*365/E41,0)</f>
        <v>0</v>
      </c>
      <c r="L41" s="339" t="s">
        <v>265</v>
      </c>
      <c r="M41" s="1217" t="s">
        <v>266</v>
      </c>
      <c r="N41" s="1218"/>
      <c r="O41" s="1218"/>
      <c r="P41" s="1218"/>
      <c r="Q41" s="1218"/>
      <c r="R41" s="1422"/>
    </row>
    <row r="42" spans="1:18" ht="15.75">
      <c r="B42" s="1420"/>
      <c r="C42" s="338" t="s">
        <v>246</v>
      </c>
      <c r="D42" s="72"/>
      <c r="E42" s="357">
        <f>E39/E39</f>
        <v>1</v>
      </c>
      <c r="F42" s="338" t="s">
        <v>267</v>
      </c>
      <c r="G42" s="79" t="s">
        <v>11</v>
      </c>
      <c r="H42" s="72" t="s">
        <v>141</v>
      </c>
      <c r="I42" s="80">
        <f>0.0024*K42^0.533*E42</f>
        <v>0</v>
      </c>
      <c r="J42" s="72" t="s">
        <v>124</v>
      </c>
      <c r="K42" s="80">
        <f>IFERROR('物質収支（いしかわモデル）'!X11*100*365/E42,0)</f>
        <v>0</v>
      </c>
      <c r="L42" s="339" t="s">
        <v>265</v>
      </c>
      <c r="M42" s="1217" t="s">
        <v>266</v>
      </c>
      <c r="N42" s="1218"/>
      <c r="O42" s="1218"/>
      <c r="P42" s="1218"/>
      <c r="Q42" s="1218"/>
      <c r="R42" s="1422"/>
    </row>
    <row r="43" spans="1:18" ht="15.75">
      <c r="B43" s="1420"/>
      <c r="C43" s="1411" t="s">
        <v>100</v>
      </c>
      <c r="D43" s="1414"/>
      <c r="E43" s="1519">
        <v>1</v>
      </c>
      <c r="F43" s="338" t="s">
        <v>12</v>
      </c>
      <c r="G43" s="79" t="s">
        <v>11</v>
      </c>
      <c r="H43" s="72" t="s">
        <v>144</v>
      </c>
      <c r="I43" s="102">
        <f>(O43*1000*⑤基本情報入力!H61)/1000000*E43</f>
        <v>0</v>
      </c>
      <c r="J43" s="72" t="s">
        <v>124</v>
      </c>
      <c r="K43" s="80">
        <f>IFERROR('施設規模の設定（いしかわモデル）'!G11/E43,0)</f>
        <v>0</v>
      </c>
      <c r="L43" s="339" t="s">
        <v>1</v>
      </c>
      <c r="M43" s="1217" t="s">
        <v>12</v>
      </c>
      <c r="N43" s="1422"/>
      <c r="O43" s="69">
        <f>9.45*K43^0.493*E43</f>
        <v>0</v>
      </c>
      <c r="P43" s="72" t="s">
        <v>15</v>
      </c>
      <c r="Q43" s="1222"/>
      <c r="R43" s="1224"/>
    </row>
    <row r="44" spans="1:18" ht="15.75">
      <c r="B44" s="1420"/>
      <c r="C44" s="1407"/>
      <c r="D44" s="1408"/>
      <c r="E44" s="1516"/>
      <c r="F44" s="338" t="s">
        <v>13</v>
      </c>
      <c r="G44" s="79" t="s">
        <v>11</v>
      </c>
      <c r="H44" s="72" t="s">
        <v>143</v>
      </c>
      <c r="I44" s="85">
        <f>0.184*K44^0.4*E43</f>
        <v>0</v>
      </c>
      <c r="J44" s="72" t="s">
        <v>124</v>
      </c>
      <c r="K44" s="80">
        <f>+K43</f>
        <v>0</v>
      </c>
      <c r="L44" s="339" t="s">
        <v>1</v>
      </c>
      <c r="M44" s="1217" t="s">
        <v>248</v>
      </c>
      <c r="N44" s="1218"/>
      <c r="O44" s="1218"/>
      <c r="P44" s="1218"/>
      <c r="Q44" s="1218"/>
      <c r="R44" s="1422"/>
    </row>
    <row r="45" spans="1:18" ht="15.75">
      <c r="B45" s="1420"/>
      <c r="C45" s="355" t="s">
        <v>18</v>
      </c>
      <c r="D45" s="356" t="s">
        <v>249</v>
      </c>
      <c r="E45" s="357">
        <v>1</v>
      </c>
      <c r="F45" s="338" t="s">
        <v>17</v>
      </c>
      <c r="G45" s="79" t="s">
        <v>11</v>
      </c>
      <c r="H45" s="72" t="s">
        <v>313</v>
      </c>
      <c r="I45" s="85">
        <f>0.171*(K45)^0.39*E45</f>
        <v>0</v>
      </c>
      <c r="J45" s="72" t="s">
        <v>124</v>
      </c>
      <c r="K45" s="85">
        <f>IFERROR('物質収支（いしかわモデル）'!X11*100*365/E45,0)</f>
        <v>0</v>
      </c>
      <c r="L45" s="339" t="s">
        <v>265</v>
      </c>
      <c r="M45" s="1217" t="s">
        <v>266</v>
      </c>
      <c r="N45" s="1218"/>
      <c r="O45" s="1218"/>
      <c r="P45" s="1218"/>
      <c r="Q45" s="1218"/>
      <c r="R45" s="1422"/>
    </row>
    <row r="46" spans="1:18" ht="15.75">
      <c r="B46" s="1420"/>
      <c r="C46" s="355" t="s">
        <v>9</v>
      </c>
      <c r="D46" s="356"/>
      <c r="E46" s="357">
        <v>1</v>
      </c>
      <c r="F46" s="338" t="s">
        <v>13</v>
      </c>
      <c r="G46" s="79" t="s">
        <v>11</v>
      </c>
      <c r="H46" s="355" t="s">
        <v>632</v>
      </c>
      <c r="I46" s="85">
        <f>0.283*K46^0.302*E46</f>
        <v>0</v>
      </c>
      <c r="J46" s="72" t="s">
        <v>124</v>
      </c>
      <c r="K46" s="85">
        <f>IFERROR('施設規模の設定（いしかわモデル）'!G17/E46,0)</f>
        <v>0</v>
      </c>
      <c r="L46" s="339" t="s">
        <v>1</v>
      </c>
      <c r="M46" s="1217" t="s">
        <v>251</v>
      </c>
      <c r="N46" s="1218"/>
      <c r="O46" s="1218"/>
      <c r="P46" s="1218"/>
      <c r="Q46" s="1218"/>
      <c r="R46" s="1422"/>
    </row>
    <row r="47" spans="1:18" ht="15.75">
      <c r="B47" s="1420"/>
      <c r="C47" s="355" t="s">
        <v>16</v>
      </c>
      <c r="D47" s="356"/>
      <c r="E47" s="357">
        <v>1</v>
      </c>
      <c r="F47" s="338" t="s">
        <v>13</v>
      </c>
      <c r="G47" s="79" t="s">
        <v>11</v>
      </c>
      <c r="H47" s="355" t="s">
        <v>633</v>
      </c>
      <c r="I47" s="85">
        <f>0.0796*K47^0.761*E47</f>
        <v>0</v>
      </c>
      <c r="J47" s="72" t="s">
        <v>124</v>
      </c>
      <c r="K47" s="85">
        <f>IFERROR('施設規模の設定（いしかわモデル）'!G18/E47,0)</f>
        <v>0</v>
      </c>
      <c r="L47" s="339" t="s">
        <v>298</v>
      </c>
      <c r="M47" s="1217" t="s">
        <v>252</v>
      </c>
      <c r="N47" s="1218"/>
      <c r="O47" s="1218"/>
      <c r="P47" s="1218"/>
      <c r="Q47" s="1218"/>
      <c r="R47" s="1422"/>
    </row>
    <row r="48" spans="1:18" ht="15.75">
      <c r="B48" s="1420"/>
      <c r="C48" s="355" t="s">
        <v>10</v>
      </c>
      <c r="D48" s="356"/>
      <c r="E48" s="357" t="str">
        <f>$E$18</f>
        <v>0</v>
      </c>
      <c r="F48" s="338" t="s">
        <v>17</v>
      </c>
      <c r="G48" s="79" t="s">
        <v>11</v>
      </c>
      <c r="H48" s="72" t="s">
        <v>140</v>
      </c>
      <c r="I48" s="85">
        <f>0.362*K48^0.585*E48</f>
        <v>0</v>
      </c>
      <c r="J48" s="72" t="s">
        <v>124</v>
      </c>
      <c r="K48" s="80">
        <f>IFERROR('施設規模の設定（いしかわモデル）'!G22*365/E48,0)</f>
        <v>0</v>
      </c>
      <c r="L48" s="339" t="s">
        <v>562</v>
      </c>
      <c r="M48" s="1217" t="s">
        <v>268</v>
      </c>
      <c r="N48" s="1218"/>
      <c r="O48" s="1218"/>
      <c r="P48" s="1218"/>
      <c r="Q48" s="1218"/>
      <c r="R48" s="1422"/>
    </row>
    <row r="49" spans="1:18" ht="15.75">
      <c r="B49" s="1420"/>
      <c r="C49" s="621" t="s">
        <v>522</v>
      </c>
      <c r="D49" s="358" t="s">
        <v>564</v>
      </c>
      <c r="E49" s="141" t="str">
        <f>+IF(⑤基本情報入力!E98="〇","1","0")</f>
        <v>0</v>
      </c>
      <c r="F49" s="338" t="s">
        <v>264</v>
      </c>
      <c r="G49" s="79" t="s">
        <v>271</v>
      </c>
      <c r="H49" s="72" t="s">
        <v>774</v>
      </c>
      <c r="I49" s="85">
        <f>U27*K49*E49/1000</f>
        <v>0</v>
      </c>
      <c r="J49" s="72" t="s">
        <v>124</v>
      </c>
      <c r="K49" s="80">
        <f>'施設規模の設定（いしかわモデル）'!G23</f>
        <v>0</v>
      </c>
      <c r="L49" s="339" t="s">
        <v>433</v>
      </c>
      <c r="M49" s="1217" t="s">
        <v>772</v>
      </c>
      <c r="N49" s="1218"/>
      <c r="O49" s="1218"/>
      <c r="P49" s="1218"/>
      <c r="Q49" s="1223"/>
      <c r="R49" s="1224"/>
    </row>
    <row r="50" spans="1:18" ht="15.75">
      <c r="B50" s="1420"/>
      <c r="C50" s="1517" t="s">
        <v>254</v>
      </c>
      <c r="D50" s="1412"/>
      <c r="E50" s="357">
        <v>1</v>
      </c>
      <c r="F50" s="338" t="s">
        <v>12</v>
      </c>
      <c r="G50" s="79" t="s">
        <v>11</v>
      </c>
      <c r="H50" s="72" t="s">
        <v>634</v>
      </c>
      <c r="I50" s="85">
        <f>(O50*1000*⑤基本情報入力!H61)/10^6*E50</f>
        <v>0</v>
      </c>
      <c r="J50" s="72" t="s">
        <v>124</v>
      </c>
      <c r="K50" s="80">
        <f>IFERROR('計算条件（いしかわモデル）'!G46+'計算条件（いしかわモデル）'!G51/E50,0)</f>
        <v>0</v>
      </c>
      <c r="L50" s="339" t="s">
        <v>121</v>
      </c>
      <c r="M50" s="1217" t="s">
        <v>12</v>
      </c>
      <c r="N50" s="1422"/>
      <c r="O50" s="69">
        <f>230*K50^0.0949</f>
        <v>0</v>
      </c>
      <c r="P50" s="72" t="s">
        <v>15</v>
      </c>
      <c r="Q50" s="1222"/>
      <c r="R50" s="1224"/>
    </row>
    <row r="51" spans="1:18" ht="15.75">
      <c r="B51" s="1420"/>
      <c r="C51" s="1518"/>
      <c r="D51" s="1414"/>
      <c r="E51" s="357">
        <v>1</v>
      </c>
      <c r="F51" s="338" t="s">
        <v>13</v>
      </c>
      <c r="G51" s="79" t="s">
        <v>11</v>
      </c>
      <c r="H51" s="72" t="s">
        <v>635</v>
      </c>
      <c r="I51" s="85">
        <f>3.05*K51^0.195*E51</f>
        <v>0</v>
      </c>
      <c r="J51" s="72" t="s">
        <v>124</v>
      </c>
      <c r="K51" s="80">
        <f>K50</f>
        <v>0</v>
      </c>
      <c r="L51" s="339" t="s">
        <v>121</v>
      </c>
      <c r="M51" s="1217" t="s">
        <v>269</v>
      </c>
      <c r="N51" s="1218"/>
      <c r="O51" s="1218"/>
      <c r="P51" s="1218"/>
      <c r="Q51" s="1218"/>
      <c r="R51" s="1422"/>
    </row>
    <row r="52" spans="1:18" ht="15.75">
      <c r="B52" s="1420"/>
      <c r="C52" s="1515" t="s">
        <v>257</v>
      </c>
      <c r="D52" s="1221"/>
      <c r="E52" s="1516">
        <v>1</v>
      </c>
      <c r="F52" s="338" t="s">
        <v>12</v>
      </c>
      <c r="G52" s="79" t="s">
        <v>11</v>
      </c>
      <c r="H52" s="72" t="s">
        <v>296</v>
      </c>
      <c r="I52" s="80">
        <f>(O52*1000*⑤基本情報入力!H61)/1000000*E52</f>
        <v>0</v>
      </c>
      <c r="J52" s="72" t="s">
        <v>124</v>
      </c>
      <c r="K52" s="80">
        <f>IFERROR('計算条件（いしかわモデル）'!G61/E52,0)</f>
        <v>0</v>
      </c>
      <c r="L52" s="339" t="s">
        <v>0</v>
      </c>
      <c r="M52" s="1217" t="s">
        <v>12</v>
      </c>
      <c r="N52" s="1422"/>
      <c r="O52" s="69">
        <f>94.6*K52^0.43</f>
        <v>0</v>
      </c>
      <c r="P52" s="72" t="s">
        <v>15</v>
      </c>
      <c r="Q52" s="1222"/>
      <c r="R52" s="1224"/>
    </row>
    <row r="53" spans="1:18" ht="15.75">
      <c r="B53" s="1420"/>
      <c r="C53" s="1515"/>
      <c r="D53" s="1221"/>
      <c r="E53" s="1516"/>
      <c r="F53" s="338" t="s">
        <v>13</v>
      </c>
      <c r="G53" s="79" t="s">
        <v>11</v>
      </c>
      <c r="H53" s="72" t="s">
        <v>151</v>
      </c>
      <c r="I53" s="85">
        <f>7.58*K53^0.264*E52</f>
        <v>0</v>
      </c>
      <c r="J53" s="72" t="s">
        <v>124</v>
      </c>
      <c r="K53" s="80">
        <f>+K52</f>
        <v>0</v>
      </c>
      <c r="L53" s="339" t="s">
        <v>0</v>
      </c>
      <c r="M53" s="1217" t="s">
        <v>270</v>
      </c>
      <c r="N53" s="1218"/>
      <c r="O53" s="1218"/>
      <c r="P53" s="1218"/>
      <c r="Q53" s="1218"/>
      <c r="R53" s="1422"/>
    </row>
    <row r="54" spans="1:18" ht="15.75" hidden="1">
      <c r="B54" s="1420"/>
      <c r="D54" s="500" t="s">
        <v>615</v>
      </c>
      <c r="E54" s="505"/>
      <c r="F54" s="501" t="s">
        <v>617</v>
      </c>
      <c r="G54" s="79" t="s">
        <v>619</v>
      </c>
      <c r="H54" s="72" t="s">
        <v>620</v>
      </c>
      <c r="I54" s="85">
        <f>3.05*K54^0.195*E54</f>
        <v>0</v>
      </c>
      <c r="J54" s="72" t="s">
        <v>124</v>
      </c>
      <c r="K54" s="80">
        <v>0</v>
      </c>
      <c r="L54" s="500" t="s">
        <v>624</v>
      </c>
      <c r="M54" s="502" t="s">
        <v>622</v>
      </c>
      <c r="N54" s="503"/>
      <c r="O54" s="503"/>
      <c r="P54" s="503"/>
      <c r="Q54" s="503"/>
      <c r="R54" s="504"/>
    </row>
    <row r="55" spans="1:18" ht="15.75">
      <c r="B55" s="1420"/>
      <c r="C55" s="631" t="s">
        <v>609</v>
      </c>
      <c r="D55" s="623" t="s">
        <v>671</v>
      </c>
      <c r="E55" s="641" t="str">
        <f>IF(⑤基本情報入力!E93="〇","1","0")</f>
        <v>0</v>
      </c>
      <c r="F55" s="642" t="s">
        <v>617</v>
      </c>
      <c r="G55" s="46" t="s">
        <v>619</v>
      </c>
      <c r="H55" s="25" t="s">
        <v>817</v>
      </c>
      <c r="I55" s="643">
        <f>0.0138*K55^0.8898*E55</f>
        <v>0</v>
      </c>
      <c r="J55" s="25" t="s">
        <v>124</v>
      </c>
      <c r="K55" s="644">
        <f>+M31</f>
        <v>0</v>
      </c>
      <c r="L55" s="623" t="s">
        <v>164</v>
      </c>
      <c r="M55" s="1520" t="s">
        <v>815</v>
      </c>
      <c r="N55" s="1521"/>
      <c r="O55" s="1521"/>
      <c r="P55" s="1521"/>
      <c r="Q55" s="1521"/>
      <c r="R55" s="1522"/>
    </row>
    <row r="56" spans="1:18" hidden="1">
      <c r="B56" s="1420"/>
      <c r="C56" s="632"/>
      <c r="D56" s="500" t="s">
        <v>616</v>
      </c>
      <c r="E56" s="505"/>
      <c r="F56" s="501" t="s">
        <v>618</v>
      </c>
      <c r="G56" s="79"/>
      <c r="H56" s="72" t="s">
        <v>621</v>
      </c>
      <c r="I56" s="85">
        <f>7.58*K56^0.264*E55</f>
        <v>0</v>
      </c>
      <c r="J56" s="72" t="s">
        <v>124</v>
      </c>
      <c r="K56" s="80">
        <v>0</v>
      </c>
      <c r="L56" s="500"/>
      <c r="M56" s="502" t="s">
        <v>623</v>
      </c>
      <c r="N56" s="503"/>
      <c r="O56" s="503"/>
      <c r="P56" s="503"/>
      <c r="Q56" s="503"/>
      <c r="R56" s="504"/>
    </row>
    <row r="57" spans="1:18">
      <c r="B57" s="1420"/>
      <c r="C57" s="583" t="s">
        <v>717</v>
      </c>
      <c r="D57" s="339"/>
      <c r="E57" s="578"/>
      <c r="F57" s="78" t="s">
        <v>812</v>
      </c>
      <c r="G57" s="79" t="s">
        <v>271</v>
      </c>
      <c r="H57" s="72"/>
      <c r="I57" s="80">
        <f>-⑤基本情報入力!H61*K57*365/10^6*E55</f>
        <v>0</v>
      </c>
      <c r="J57" s="72" t="s">
        <v>124</v>
      </c>
      <c r="K57" s="80">
        <f>+'物質収支（いしかわモデル）'!X37</f>
        <v>0</v>
      </c>
      <c r="L57" s="574" t="s">
        <v>813</v>
      </c>
      <c r="M57" s="1217" t="s">
        <v>687</v>
      </c>
      <c r="N57" s="1218"/>
      <c r="O57" s="1218"/>
      <c r="P57" s="1218"/>
      <c r="Q57" s="1218"/>
      <c r="R57" s="1422"/>
    </row>
    <row r="58" spans="1:18" ht="15.75" hidden="1">
      <c r="B58" s="1420"/>
      <c r="C58" s="622" t="s">
        <v>310</v>
      </c>
      <c r="D58" s="341"/>
      <c r="E58" s="577">
        <v>0</v>
      </c>
      <c r="F58" s="340" t="s">
        <v>264</v>
      </c>
      <c r="G58" s="79" t="s">
        <v>11</v>
      </c>
      <c r="H58" s="97" t="s">
        <v>636</v>
      </c>
      <c r="I58" s="140">
        <f>0.287*K58^0.673*E58</f>
        <v>0</v>
      </c>
      <c r="J58" s="72" t="s">
        <v>124</v>
      </c>
      <c r="K58" s="94">
        <f>IFERROR('施設規模の設定（いしかわモデル）'!G22*365/E58,0)</f>
        <v>0</v>
      </c>
      <c r="L58" s="339" t="s">
        <v>562</v>
      </c>
      <c r="M58" s="1217" t="s">
        <v>563</v>
      </c>
      <c r="N58" s="1218"/>
      <c r="O58" s="1218"/>
      <c r="P58" s="1218"/>
      <c r="Q58" s="1218"/>
      <c r="R58" s="1422"/>
    </row>
    <row r="59" spans="1:18" ht="14.25" thickBot="1">
      <c r="B59" s="1420"/>
      <c r="C59" s="622" t="s">
        <v>139</v>
      </c>
      <c r="D59" s="575" t="s">
        <v>128</v>
      </c>
      <c r="E59" s="577"/>
      <c r="F59" s="579" t="s">
        <v>139</v>
      </c>
      <c r="G59" s="97" t="s">
        <v>271</v>
      </c>
      <c r="H59" s="97"/>
      <c r="I59" s="89">
        <f>+ROUND(⑤基本情報入力!H62*365*K59/10^6,0)</f>
        <v>0</v>
      </c>
      <c r="J59" s="88" t="s">
        <v>124</v>
      </c>
      <c r="K59" s="89">
        <f>IF(AND(⑤基本情報入力!E93="〇",⑤基本情報入力!E94="〇"),'物質収支（いしかわモデル）'!X51,IF(⑤基本情報入力!E93="〇",'物質収支（いしかわモデル）'!X50,IF(⑤基本情報入力!E94="〇",'物質収支（いしかわモデル）'!X49,'物質収支（いしかわモデル）'!X48)))</f>
        <v>0</v>
      </c>
      <c r="L59" s="343" t="s">
        <v>129</v>
      </c>
      <c r="M59" s="1430" t="s">
        <v>691</v>
      </c>
      <c r="N59" s="1430"/>
      <c r="O59" s="1430"/>
      <c r="P59" s="1430"/>
      <c r="Q59" s="1430"/>
      <c r="R59" s="1430"/>
    </row>
    <row r="60" spans="1:18" ht="14.25" thickTop="1">
      <c r="B60" s="1421"/>
      <c r="C60" s="1448" t="s">
        <v>259</v>
      </c>
      <c r="D60" s="1449"/>
      <c r="E60" s="1449"/>
      <c r="F60" s="1449"/>
      <c r="G60" s="1449"/>
      <c r="H60" s="1450"/>
      <c r="I60" s="80">
        <f>SUM(I39:I59)</f>
        <v>0</v>
      </c>
      <c r="J60" s="95" t="s">
        <v>124</v>
      </c>
      <c r="K60" s="95"/>
      <c r="L60" s="101"/>
      <c r="M60" s="1431"/>
      <c r="N60" s="1431"/>
      <c r="O60" s="1431"/>
      <c r="P60" s="1431"/>
      <c r="Q60" s="1431"/>
      <c r="R60" s="1431"/>
    </row>
    <row r="61" spans="1:18" s="105" customFormat="1">
      <c r="A61" s="157"/>
      <c r="B61" s="139"/>
      <c r="C61" s="367"/>
      <c r="D61" s="367"/>
      <c r="E61" s="367"/>
      <c r="F61" s="367"/>
      <c r="G61" s="367"/>
      <c r="H61" s="367"/>
      <c r="I61" s="106"/>
      <c r="J61" s="107"/>
      <c r="K61" s="108"/>
      <c r="L61" s="108"/>
      <c r="M61" s="367"/>
      <c r="N61" s="367"/>
      <c r="O61" s="367"/>
      <c r="P61" s="367"/>
      <c r="Q61" s="367"/>
      <c r="R61" s="367"/>
    </row>
    <row r="63" spans="1:18">
      <c r="A63" s="148" t="str">
        <f>+⑤基本情報入力!J51</f>
        <v>②</v>
      </c>
      <c r="B63" s="1232">
        <f>+⑤基本情報入力!J52</f>
        <v>0</v>
      </c>
      <c r="C63" s="1232"/>
    </row>
    <row r="64" spans="1:18">
      <c r="B64" s="354" t="s">
        <v>230</v>
      </c>
      <c r="C64" s="337" t="s">
        <v>231</v>
      </c>
      <c r="D64" s="337" t="s">
        <v>232</v>
      </c>
      <c r="E64" s="337" t="s">
        <v>233</v>
      </c>
      <c r="F64" s="337" t="s">
        <v>23</v>
      </c>
      <c r="G64" s="1415" t="s">
        <v>235</v>
      </c>
      <c r="H64" s="1415"/>
      <c r="I64" s="1415" t="s">
        <v>236</v>
      </c>
      <c r="J64" s="1415"/>
      <c r="K64" s="1415" t="s">
        <v>237</v>
      </c>
      <c r="L64" s="1415"/>
      <c r="M64" s="1416" t="s">
        <v>291</v>
      </c>
      <c r="N64" s="1416"/>
      <c r="O64" s="77" t="s">
        <v>238</v>
      </c>
      <c r="P64" s="77" t="s">
        <v>239</v>
      </c>
      <c r="Q64" s="77" t="s">
        <v>240</v>
      </c>
      <c r="R64" s="337" t="s">
        <v>97</v>
      </c>
    </row>
    <row r="65" spans="1:18" ht="15.75">
      <c r="B65" s="1417"/>
      <c r="C65" s="1419" t="s">
        <v>241</v>
      </c>
      <c r="D65" s="1221" t="s">
        <v>242</v>
      </c>
      <c r="E65" s="357">
        <f>+⑤基本情報入力!J53</f>
        <v>0</v>
      </c>
      <c r="F65" s="78" t="s">
        <v>3</v>
      </c>
      <c r="G65" s="79" t="s">
        <v>11</v>
      </c>
      <c r="H65" s="79" t="s">
        <v>653</v>
      </c>
      <c r="I65" s="80">
        <f>K65*(1-O65)*(P65+P65/((P65+1)^Q65-1))</f>
        <v>0</v>
      </c>
      <c r="J65" s="72" t="s">
        <v>124</v>
      </c>
      <c r="K65" s="70">
        <f>1.31*M65^0.611*E65</f>
        <v>0</v>
      </c>
      <c r="L65" s="79" t="s">
        <v>120</v>
      </c>
      <c r="M65" s="80">
        <f>IFERROR('計算条件（いしかわモデル）'!H13/E65,0)</f>
        <v>0</v>
      </c>
      <c r="N65" s="1221" t="s">
        <v>243</v>
      </c>
      <c r="O65" s="81">
        <f>+⑤基本情報入力!$Y$61</f>
        <v>0.1</v>
      </c>
      <c r="P65" s="82">
        <f>+⑤基本情報入力!$AB$61</f>
        <v>2.3E-2</v>
      </c>
      <c r="Q65" s="83">
        <f>+⑤基本情報入力!$AE$61</f>
        <v>20</v>
      </c>
      <c r="R65" s="72" t="s">
        <v>244</v>
      </c>
    </row>
    <row r="66" spans="1:18" ht="15.75">
      <c r="B66" s="1417"/>
      <c r="C66" s="1419"/>
      <c r="D66" s="1221"/>
      <c r="E66" s="359">
        <v>0</v>
      </c>
      <c r="F66" s="78" t="s">
        <v>8</v>
      </c>
      <c r="G66" s="79" t="s">
        <v>11</v>
      </c>
      <c r="H66" s="79" t="s">
        <v>654</v>
      </c>
      <c r="I66" s="80">
        <f>K66*(1-O66)*(P66+P66/((P66+1)^Q66-1))</f>
        <v>0</v>
      </c>
      <c r="J66" s="72" t="s">
        <v>124</v>
      </c>
      <c r="K66" s="70">
        <f>1.24*M66^0.598*E66</f>
        <v>0</v>
      </c>
      <c r="L66" s="79" t="s">
        <v>120</v>
      </c>
      <c r="M66" s="80">
        <f>+M65</f>
        <v>0</v>
      </c>
      <c r="N66" s="1221"/>
      <c r="O66" s="81">
        <f>+⑤基本情報入力!$Y$63</f>
        <v>0.1</v>
      </c>
      <c r="P66" s="84">
        <f>+⑤基本情報入力!$AB$63</f>
        <v>2.3E-2</v>
      </c>
      <c r="Q66" s="83">
        <f>+⑤基本情報入力!$AE$63</f>
        <v>40</v>
      </c>
      <c r="R66" s="72" t="s">
        <v>244</v>
      </c>
    </row>
    <row r="67" spans="1:18" ht="15.75">
      <c r="B67" s="1417"/>
      <c r="C67" s="1419" t="s">
        <v>22</v>
      </c>
      <c r="D67" s="1221"/>
      <c r="E67" s="357">
        <f>+⑤基本情報入力!J54</f>
        <v>0</v>
      </c>
      <c r="F67" s="78" t="s">
        <v>3</v>
      </c>
      <c r="G67" s="79" t="s">
        <v>11</v>
      </c>
      <c r="H67" s="79" t="s">
        <v>655</v>
      </c>
      <c r="I67" s="80">
        <f>K67*(1-O67)*(P67+P67/((P67+1)^Q67-1))</f>
        <v>0</v>
      </c>
      <c r="J67" s="72" t="s">
        <v>124</v>
      </c>
      <c r="K67" s="70">
        <f>22.7*M67^0.444*E67</f>
        <v>0</v>
      </c>
      <c r="L67" s="79" t="s">
        <v>120</v>
      </c>
      <c r="M67" s="80">
        <f>IFERROR('計算条件（いしかわモデル）'!H13/E67,0)</f>
        <v>0</v>
      </c>
      <c r="N67" s="1221" t="s">
        <v>243</v>
      </c>
      <c r="O67" s="81">
        <f>+⑤基本情報入力!$Y$61</f>
        <v>0.1</v>
      </c>
      <c r="P67" s="82">
        <f>+⑤基本情報入力!$AB$61</f>
        <v>2.3E-2</v>
      </c>
      <c r="Q67" s="83">
        <f>+⑤基本情報入力!$AE$61</f>
        <v>20</v>
      </c>
      <c r="R67" s="72" t="s">
        <v>244</v>
      </c>
    </row>
    <row r="68" spans="1:18" ht="15.75">
      <c r="B68" s="1417"/>
      <c r="C68" s="1419"/>
      <c r="D68" s="1221"/>
      <c r="E68" s="359">
        <v>0</v>
      </c>
      <c r="F68" s="78" t="s">
        <v>8</v>
      </c>
      <c r="G68" s="79" t="s">
        <v>11</v>
      </c>
      <c r="H68" s="79" t="s">
        <v>656</v>
      </c>
      <c r="I68" s="80">
        <f>K68*(1-O68)*(P68+P68/((P68+1)^Q68-1))</f>
        <v>0</v>
      </c>
      <c r="J68" s="72" t="s">
        <v>124</v>
      </c>
      <c r="K68" s="70">
        <f>43.4*M68^0.373*E68</f>
        <v>0</v>
      </c>
      <c r="L68" s="79" t="s">
        <v>120</v>
      </c>
      <c r="M68" s="80">
        <f>+M67</f>
        <v>0</v>
      </c>
      <c r="N68" s="1221"/>
      <c r="O68" s="81">
        <f>+⑤基本情報入力!$Y$63</f>
        <v>0.1</v>
      </c>
      <c r="P68" s="84">
        <f>+⑤基本情報入力!$AB$63</f>
        <v>2.3E-2</v>
      </c>
      <c r="Q68" s="83">
        <f>+⑤基本情報入力!$AE$63</f>
        <v>40</v>
      </c>
      <c r="R68" s="72" t="s">
        <v>244</v>
      </c>
    </row>
    <row r="69" spans="1:18" ht="16.5" thickBot="1">
      <c r="B69" s="1417"/>
      <c r="C69" s="344" t="s">
        <v>246</v>
      </c>
      <c r="D69" s="88"/>
      <c r="E69" s="116">
        <f>+⑤基本情報入力!J53</f>
        <v>0</v>
      </c>
      <c r="F69" s="344" t="s">
        <v>4</v>
      </c>
      <c r="G69" s="87" t="s">
        <v>11</v>
      </c>
      <c r="H69" s="88" t="s">
        <v>657</v>
      </c>
      <c r="I69" s="89">
        <f>K69*(1-O69)*(P69+P69/((P69+1)^Q69-1))</f>
        <v>0</v>
      </c>
      <c r="J69" s="88" t="s">
        <v>124</v>
      </c>
      <c r="K69" s="90">
        <f>17.8*M69^0.464*E69</f>
        <v>0</v>
      </c>
      <c r="L69" s="88" t="s">
        <v>120</v>
      </c>
      <c r="M69" s="89">
        <f>IFERROR('計算条件（いしかわモデル）'!H13/E69,0)</f>
        <v>0</v>
      </c>
      <c r="N69" s="343" t="s">
        <v>243</v>
      </c>
      <c r="O69" s="91">
        <f>+⑤基本情報入力!$Y$62</f>
        <v>0.1</v>
      </c>
      <c r="P69" s="92">
        <f>+⑤基本情報入力!$AB$62</f>
        <v>2.3E-2</v>
      </c>
      <c r="Q69" s="93">
        <f>+⑤基本情報入力!$AE$62</f>
        <v>15</v>
      </c>
      <c r="R69" s="88" t="s">
        <v>247</v>
      </c>
    </row>
    <row r="70" spans="1:18" ht="14.25" thickTop="1">
      <c r="B70" s="1418"/>
      <c r="C70" s="1434" t="s">
        <v>259</v>
      </c>
      <c r="D70" s="1434"/>
      <c r="E70" s="1434"/>
      <c r="F70" s="1434"/>
      <c r="G70" s="1434"/>
      <c r="H70" s="1434"/>
      <c r="I70" s="109">
        <f>SUM(I65:I69)</f>
        <v>0</v>
      </c>
      <c r="J70" s="110" t="s">
        <v>124</v>
      </c>
      <c r="K70" s="111">
        <f>SUM(K65,K67,K69)</f>
        <v>0</v>
      </c>
      <c r="L70" s="112" t="s">
        <v>120</v>
      </c>
      <c r="M70" s="113"/>
      <c r="N70" s="336"/>
      <c r="O70" s="99"/>
      <c r="P70" s="100"/>
      <c r="Q70" s="101"/>
      <c r="R70" s="101"/>
    </row>
    <row r="71" spans="1:18">
      <c r="B71" s="335" t="s">
        <v>260</v>
      </c>
      <c r="C71" s="334" t="s">
        <v>231</v>
      </c>
      <c r="D71" s="334" t="s">
        <v>232</v>
      </c>
      <c r="E71" s="334" t="s">
        <v>233</v>
      </c>
      <c r="F71" s="334" t="s">
        <v>273</v>
      </c>
      <c r="G71" s="1432" t="s">
        <v>235</v>
      </c>
      <c r="H71" s="1432"/>
      <c r="I71" s="1432" t="s">
        <v>237</v>
      </c>
      <c r="J71" s="1432"/>
      <c r="K71" s="1433" t="s">
        <v>291</v>
      </c>
      <c r="L71" s="1433"/>
      <c r="M71" s="1432" t="s">
        <v>97</v>
      </c>
      <c r="N71" s="1432"/>
      <c r="O71" s="1432"/>
      <c r="P71" s="1432"/>
      <c r="Q71" s="1432"/>
      <c r="R71" s="1432"/>
    </row>
    <row r="72" spans="1:18" ht="15.75">
      <c r="B72" s="1435"/>
      <c r="C72" s="338" t="s">
        <v>241</v>
      </c>
      <c r="D72" s="339" t="s">
        <v>242</v>
      </c>
      <c r="E72" s="357">
        <f>+⑤基本情報入力!J53</f>
        <v>0</v>
      </c>
      <c r="F72" s="78" t="s">
        <v>262</v>
      </c>
      <c r="G72" s="79" t="s">
        <v>11</v>
      </c>
      <c r="H72" s="72" t="s">
        <v>658</v>
      </c>
      <c r="I72" s="80">
        <f>0.03*K72^0.628*E72</f>
        <v>0</v>
      </c>
      <c r="J72" s="72" t="s">
        <v>124</v>
      </c>
      <c r="K72" s="80">
        <f>IFERROR('計算条件（いしかわモデル）'!G13/E72,0)</f>
        <v>0</v>
      </c>
      <c r="L72" s="339" t="s">
        <v>243</v>
      </c>
      <c r="M72" s="1217" t="s">
        <v>263</v>
      </c>
      <c r="N72" s="1218"/>
      <c r="O72" s="1218"/>
      <c r="P72" s="1218"/>
      <c r="Q72" s="1218"/>
      <c r="R72" s="1422"/>
    </row>
    <row r="73" spans="1:18" ht="15.75">
      <c r="B73" s="1435"/>
      <c r="C73" s="338" t="s">
        <v>22</v>
      </c>
      <c r="D73" s="339"/>
      <c r="E73" s="357">
        <f>+⑤基本情報入力!J54</f>
        <v>0</v>
      </c>
      <c r="F73" s="78" t="s">
        <v>308</v>
      </c>
      <c r="G73" s="79" t="s">
        <v>11</v>
      </c>
      <c r="H73" s="72" t="s">
        <v>142</v>
      </c>
      <c r="I73" s="80">
        <f>0.039*K73^0.596*E73</f>
        <v>0</v>
      </c>
      <c r="J73" s="72" t="s">
        <v>124</v>
      </c>
      <c r="K73" s="80">
        <f>IFERROR('計算条件（いしかわモデル）'!G13*365/E73,0)</f>
        <v>0</v>
      </c>
      <c r="L73" s="339" t="s">
        <v>265</v>
      </c>
      <c r="M73" s="1217" t="s">
        <v>266</v>
      </c>
      <c r="N73" s="1218"/>
      <c r="O73" s="1218"/>
      <c r="P73" s="1218"/>
      <c r="Q73" s="1218"/>
      <c r="R73" s="1422"/>
    </row>
    <row r="74" spans="1:18" ht="16.5" thickBot="1">
      <c r="B74" s="1435"/>
      <c r="C74" s="344" t="s">
        <v>246</v>
      </c>
      <c r="D74" s="88"/>
      <c r="E74" s="116">
        <f>+⑤基本情報入力!J53</f>
        <v>0</v>
      </c>
      <c r="F74" s="344" t="s">
        <v>267</v>
      </c>
      <c r="G74" s="87" t="s">
        <v>11</v>
      </c>
      <c r="H74" s="88" t="s">
        <v>141</v>
      </c>
      <c r="I74" s="89">
        <f>0.0024*K74^0.533*E74</f>
        <v>0</v>
      </c>
      <c r="J74" s="88" t="s">
        <v>124</v>
      </c>
      <c r="K74" s="89">
        <f>IFERROR('計算条件（いしかわモデル）'!G13*365/E74,0)</f>
        <v>0</v>
      </c>
      <c r="L74" s="343" t="s">
        <v>265</v>
      </c>
      <c r="M74" s="1437" t="s">
        <v>266</v>
      </c>
      <c r="N74" s="1438"/>
      <c r="O74" s="1438"/>
      <c r="P74" s="1438"/>
      <c r="Q74" s="1438"/>
      <c r="R74" s="1439"/>
    </row>
    <row r="75" spans="1:18" ht="14.25" thickTop="1">
      <c r="B75" s="1436"/>
      <c r="C75" s="1434" t="s">
        <v>259</v>
      </c>
      <c r="D75" s="1434"/>
      <c r="E75" s="1434"/>
      <c r="F75" s="1434"/>
      <c r="G75" s="1434"/>
      <c r="H75" s="1434"/>
      <c r="I75" s="109">
        <f>SUM(I72:I74)</f>
        <v>0</v>
      </c>
      <c r="J75" s="114" t="s">
        <v>124</v>
      </c>
      <c r="K75" s="95"/>
      <c r="L75" s="101"/>
      <c r="M75" s="1431"/>
      <c r="N75" s="1431"/>
      <c r="O75" s="1431"/>
      <c r="P75" s="1431"/>
      <c r="Q75" s="1431"/>
      <c r="R75" s="1431"/>
    </row>
    <row r="76" spans="1:18">
      <c r="J76" s="115"/>
    </row>
    <row r="78" spans="1:18">
      <c r="A78" s="148" t="str">
        <f>+⑤基本情報入力!O51</f>
        <v>③</v>
      </c>
      <c r="B78" s="58">
        <f>+⑤基本情報入力!O52</f>
        <v>0</v>
      </c>
    </row>
    <row r="79" spans="1:18">
      <c r="B79" s="354" t="s">
        <v>230</v>
      </c>
      <c r="C79" s="337" t="s">
        <v>231</v>
      </c>
      <c r="D79" s="337" t="s">
        <v>232</v>
      </c>
      <c r="E79" s="337" t="s">
        <v>233</v>
      </c>
      <c r="F79" s="337" t="s">
        <v>23</v>
      </c>
      <c r="G79" s="1415" t="s">
        <v>235</v>
      </c>
      <c r="H79" s="1415"/>
      <c r="I79" s="1415" t="s">
        <v>236</v>
      </c>
      <c r="J79" s="1415"/>
      <c r="K79" s="1415" t="s">
        <v>237</v>
      </c>
      <c r="L79" s="1415"/>
      <c r="M79" s="1416" t="s">
        <v>291</v>
      </c>
      <c r="N79" s="1416"/>
      <c r="O79" s="77" t="s">
        <v>238</v>
      </c>
      <c r="P79" s="77" t="s">
        <v>239</v>
      </c>
      <c r="Q79" s="77" t="s">
        <v>240</v>
      </c>
      <c r="R79" s="337" t="s">
        <v>97</v>
      </c>
    </row>
    <row r="80" spans="1:18" ht="15.75">
      <c r="B80" s="1417"/>
      <c r="C80" s="1419" t="s">
        <v>241</v>
      </c>
      <c r="D80" s="1221" t="s">
        <v>242</v>
      </c>
      <c r="E80" s="357">
        <f>+⑤基本情報入力!O53</f>
        <v>0</v>
      </c>
      <c r="F80" s="78" t="s">
        <v>3</v>
      </c>
      <c r="G80" s="79" t="s">
        <v>11</v>
      </c>
      <c r="H80" s="79" t="s">
        <v>653</v>
      </c>
      <c r="I80" s="80">
        <f>K80*(1-O80)*(P80+P80/((P80+1)^Q80-1))</f>
        <v>0</v>
      </c>
      <c r="J80" s="72" t="s">
        <v>124</v>
      </c>
      <c r="K80" s="70">
        <f>1.31*M80^0.611*E80</f>
        <v>0</v>
      </c>
      <c r="L80" s="79" t="s">
        <v>120</v>
      </c>
      <c r="M80" s="80">
        <f>IFERROR('計算条件（いしかわモデル）'!H19/E80,0)</f>
        <v>0</v>
      </c>
      <c r="N80" s="1221" t="s">
        <v>243</v>
      </c>
      <c r="O80" s="81">
        <f>+⑤基本情報入力!$Y$61</f>
        <v>0.1</v>
      </c>
      <c r="P80" s="82">
        <f>+⑤基本情報入力!$AB$61</f>
        <v>2.3E-2</v>
      </c>
      <c r="Q80" s="83">
        <f>+⑤基本情報入力!$AE$61</f>
        <v>20</v>
      </c>
      <c r="R80" s="72" t="s">
        <v>244</v>
      </c>
    </row>
    <row r="81" spans="1:18" ht="15.75">
      <c r="B81" s="1417"/>
      <c r="C81" s="1419"/>
      <c r="D81" s="1221"/>
      <c r="E81" s="359">
        <v>0</v>
      </c>
      <c r="F81" s="78" t="s">
        <v>8</v>
      </c>
      <c r="G81" s="79" t="s">
        <v>11</v>
      </c>
      <c r="H81" s="79" t="s">
        <v>654</v>
      </c>
      <c r="I81" s="80">
        <f>K81*(1-O81)*(P81+P81/((P81+1)^Q81-1))</f>
        <v>0</v>
      </c>
      <c r="J81" s="72" t="s">
        <v>124</v>
      </c>
      <c r="K81" s="70">
        <f>1.24*M81^0.598*E81</f>
        <v>0</v>
      </c>
      <c r="L81" s="79" t="s">
        <v>120</v>
      </c>
      <c r="M81" s="80">
        <f>+M80</f>
        <v>0</v>
      </c>
      <c r="N81" s="1221"/>
      <c r="O81" s="81">
        <f>+⑤基本情報入力!$Y$63</f>
        <v>0.1</v>
      </c>
      <c r="P81" s="84">
        <f>+⑤基本情報入力!$AB$63</f>
        <v>2.3E-2</v>
      </c>
      <c r="Q81" s="83">
        <f>+⑤基本情報入力!$AE$63</f>
        <v>40</v>
      </c>
      <c r="R81" s="72" t="s">
        <v>244</v>
      </c>
    </row>
    <row r="82" spans="1:18" ht="15.75">
      <c r="B82" s="1417"/>
      <c r="C82" s="1419" t="s">
        <v>22</v>
      </c>
      <c r="D82" s="1221"/>
      <c r="E82" s="357">
        <f>+⑤基本情報入力!O54</f>
        <v>0</v>
      </c>
      <c r="F82" s="78" t="s">
        <v>3</v>
      </c>
      <c r="G82" s="79" t="s">
        <v>11</v>
      </c>
      <c r="H82" s="79" t="s">
        <v>655</v>
      </c>
      <c r="I82" s="80">
        <f>K82*(1-O82)*(P82+P82/((P82+1)^Q82-1))</f>
        <v>0</v>
      </c>
      <c r="J82" s="72" t="s">
        <v>124</v>
      </c>
      <c r="K82" s="70">
        <f>22.7*M82^0.444*E82</f>
        <v>0</v>
      </c>
      <c r="L82" s="79" t="s">
        <v>120</v>
      </c>
      <c r="M82" s="80">
        <f>IFERROR('計算条件（いしかわモデル）'!H19/E82,0)</f>
        <v>0</v>
      </c>
      <c r="N82" s="1221" t="s">
        <v>243</v>
      </c>
      <c r="O82" s="81">
        <f>+⑤基本情報入力!$Y$61</f>
        <v>0.1</v>
      </c>
      <c r="P82" s="82">
        <f>+⑤基本情報入力!$AB$61</f>
        <v>2.3E-2</v>
      </c>
      <c r="Q82" s="83">
        <f>+⑤基本情報入力!$AE$61</f>
        <v>20</v>
      </c>
      <c r="R82" s="72" t="s">
        <v>244</v>
      </c>
    </row>
    <row r="83" spans="1:18" ht="15.75">
      <c r="B83" s="1417"/>
      <c r="C83" s="1419"/>
      <c r="D83" s="1221"/>
      <c r="E83" s="359">
        <v>0</v>
      </c>
      <c r="F83" s="78" t="s">
        <v>8</v>
      </c>
      <c r="G83" s="79" t="s">
        <v>11</v>
      </c>
      <c r="H83" s="79" t="s">
        <v>656</v>
      </c>
      <c r="I83" s="80">
        <f>K83*(1-O83)*(P83+P83/((P83+1)^Q83-1))</f>
        <v>0</v>
      </c>
      <c r="J83" s="72" t="s">
        <v>124</v>
      </c>
      <c r="K83" s="70">
        <f>43.4*M83^0.373*E83</f>
        <v>0</v>
      </c>
      <c r="L83" s="79" t="s">
        <v>120</v>
      </c>
      <c r="M83" s="80">
        <f>+M82</f>
        <v>0</v>
      </c>
      <c r="N83" s="1221"/>
      <c r="O83" s="81">
        <f>+⑤基本情報入力!$Y$63</f>
        <v>0.1</v>
      </c>
      <c r="P83" s="84">
        <f>+⑤基本情報入力!$AB$63</f>
        <v>2.3E-2</v>
      </c>
      <c r="Q83" s="83">
        <f>+⑤基本情報入力!$AE$63</f>
        <v>40</v>
      </c>
      <c r="R83" s="72" t="s">
        <v>244</v>
      </c>
    </row>
    <row r="84" spans="1:18" ht="16.5" thickBot="1">
      <c r="B84" s="1417"/>
      <c r="C84" s="344" t="s">
        <v>246</v>
      </c>
      <c r="D84" s="88"/>
      <c r="E84" s="116">
        <f>+⑤基本情報入力!O53</f>
        <v>0</v>
      </c>
      <c r="F84" s="344" t="s">
        <v>4</v>
      </c>
      <c r="G84" s="87" t="s">
        <v>11</v>
      </c>
      <c r="H84" s="88" t="s">
        <v>657</v>
      </c>
      <c r="I84" s="89">
        <f>K84*(1-O84)*(P84+P84/((P84+1)^Q84-1))</f>
        <v>0</v>
      </c>
      <c r="J84" s="88" t="s">
        <v>124</v>
      </c>
      <c r="K84" s="90">
        <f>17.8*M84^0.464*E84</f>
        <v>0</v>
      </c>
      <c r="L84" s="88" t="s">
        <v>120</v>
      </c>
      <c r="M84" s="89">
        <f>IFERROR('計算条件（いしかわモデル）'!H19/E84,0)</f>
        <v>0</v>
      </c>
      <c r="N84" s="343" t="s">
        <v>243</v>
      </c>
      <c r="O84" s="91">
        <f>+⑤基本情報入力!$Y$62</f>
        <v>0.1</v>
      </c>
      <c r="P84" s="92">
        <f>+⑤基本情報入力!$AB$62</f>
        <v>2.3E-2</v>
      </c>
      <c r="Q84" s="93">
        <f>+⑤基本情報入力!$AE$62</f>
        <v>15</v>
      </c>
      <c r="R84" s="88" t="s">
        <v>247</v>
      </c>
    </row>
    <row r="85" spans="1:18" ht="14.25" thickTop="1">
      <c r="B85" s="1418"/>
      <c r="C85" s="1434" t="s">
        <v>259</v>
      </c>
      <c r="D85" s="1434"/>
      <c r="E85" s="1434"/>
      <c r="F85" s="1434"/>
      <c r="G85" s="1434"/>
      <c r="H85" s="1434"/>
      <c r="I85" s="109">
        <f>SUM(I80:I84)</f>
        <v>0</v>
      </c>
      <c r="J85" s="112" t="s">
        <v>124</v>
      </c>
      <c r="K85" s="111">
        <f>SUM(K80,K82,K84)</f>
        <v>0</v>
      </c>
      <c r="L85" s="112" t="s">
        <v>120</v>
      </c>
      <c r="M85" s="113"/>
      <c r="N85" s="336"/>
      <c r="O85" s="99"/>
      <c r="P85" s="100"/>
      <c r="Q85" s="101"/>
      <c r="R85" s="101"/>
    </row>
    <row r="86" spans="1:18">
      <c r="B86" s="335" t="s">
        <v>260</v>
      </c>
      <c r="C86" s="334" t="s">
        <v>231</v>
      </c>
      <c r="D86" s="334" t="s">
        <v>232</v>
      </c>
      <c r="E86" s="334" t="s">
        <v>233</v>
      </c>
      <c r="F86" s="334" t="s">
        <v>273</v>
      </c>
      <c r="G86" s="1432" t="s">
        <v>235</v>
      </c>
      <c r="H86" s="1432"/>
      <c r="I86" s="1432" t="s">
        <v>237</v>
      </c>
      <c r="J86" s="1432"/>
      <c r="K86" s="1433" t="s">
        <v>291</v>
      </c>
      <c r="L86" s="1433"/>
      <c r="M86" s="1432" t="s">
        <v>97</v>
      </c>
      <c r="N86" s="1432"/>
      <c r="O86" s="1432"/>
      <c r="P86" s="1432"/>
      <c r="Q86" s="1432"/>
      <c r="R86" s="1432"/>
    </row>
    <row r="87" spans="1:18" ht="15.75">
      <c r="B87" s="1435"/>
      <c r="C87" s="338" t="s">
        <v>241</v>
      </c>
      <c r="D87" s="339" t="s">
        <v>242</v>
      </c>
      <c r="E87" s="357">
        <f>+⑤基本情報入力!O53</f>
        <v>0</v>
      </c>
      <c r="F87" s="78" t="s">
        <v>262</v>
      </c>
      <c r="G87" s="79" t="s">
        <v>11</v>
      </c>
      <c r="H87" s="72" t="s">
        <v>658</v>
      </c>
      <c r="I87" s="80">
        <f>0.03*K87^0.628*E87</f>
        <v>0</v>
      </c>
      <c r="J87" s="72" t="s">
        <v>124</v>
      </c>
      <c r="K87" s="80">
        <f>IFERROR('計算条件（いしかわモデル）'!G19/E87,0)</f>
        <v>0</v>
      </c>
      <c r="L87" s="339" t="s">
        <v>243</v>
      </c>
      <c r="M87" s="1217" t="s">
        <v>263</v>
      </c>
      <c r="N87" s="1218"/>
      <c r="O87" s="1218"/>
      <c r="P87" s="1218"/>
      <c r="Q87" s="1218"/>
      <c r="R87" s="1422"/>
    </row>
    <row r="88" spans="1:18" ht="15.75">
      <c r="B88" s="1435"/>
      <c r="C88" s="338" t="s">
        <v>22</v>
      </c>
      <c r="D88" s="339"/>
      <c r="E88" s="357">
        <f>+⑤基本情報入力!O54</f>
        <v>0</v>
      </c>
      <c r="F88" s="78" t="s">
        <v>308</v>
      </c>
      <c r="G88" s="79" t="s">
        <v>11</v>
      </c>
      <c r="H88" s="72" t="s">
        <v>142</v>
      </c>
      <c r="I88" s="80">
        <f>0.039*K88^0.596*E88</f>
        <v>0</v>
      </c>
      <c r="J88" s="72" t="s">
        <v>124</v>
      </c>
      <c r="K88" s="80">
        <f>IFERROR('計算条件（いしかわモデル）'!G19*365/E88,0)</f>
        <v>0</v>
      </c>
      <c r="L88" s="339" t="s">
        <v>265</v>
      </c>
      <c r="M88" s="1217" t="s">
        <v>266</v>
      </c>
      <c r="N88" s="1218"/>
      <c r="O88" s="1218"/>
      <c r="P88" s="1218"/>
      <c r="Q88" s="1218"/>
      <c r="R88" s="1422"/>
    </row>
    <row r="89" spans="1:18" ht="16.5" thickBot="1">
      <c r="B89" s="1435"/>
      <c r="C89" s="344" t="s">
        <v>246</v>
      </c>
      <c r="D89" s="88"/>
      <c r="E89" s="116">
        <f>+⑤基本情報入力!O53</f>
        <v>0</v>
      </c>
      <c r="F89" s="344" t="s">
        <v>267</v>
      </c>
      <c r="G89" s="87" t="s">
        <v>11</v>
      </c>
      <c r="H89" s="88" t="s">
        <v>141</v>
      </c>
      <c r="I89" s="89">
        <f>0.0024*K89^0.533*E89</f>
        <v>0</v>
      </c>
      <c r="J89" s="88" t="s">
        <v>124</v>
      </c>
      <c r="K89" s="89">
        <f>IFERROR('計算条件（いしかわモデル）'!G19*365/E89,0)</f>
        <v>0</v>
      </c>
      <c r="L89" s="343" t="s">
        <v>265</v>
      </c>
      <c r="M89" s="1437" t="s">
        <v>266</v>
      </c>
      <c r="N89" s="1438"/>
      <c r="O89" s="1438"/>
      <c r="P89" s="1438"/>
      <c r="Q89" s="1438"/>
      <c r="R89" s="1439"/>
    </row>
    <row r="90" spans="1:18" ht="14.25" thickTop="1">
      <c r="B90" s="1436"/>
      <c r="C90" s="1434" t="s">
        <v>259</v>
      </c>
      <c r="D90" s="1434"/>
      <c r="E90" s="1434"/>
      <c r="F90" s="1434"/>
      <c r="G90" s="1434"/>
      <c r="H90" s="1434"/>
      <c r="I90" s="109">
        <f>SUM(I87:I89)</f>
        <v>0</v>
      </c>
      <c r="J90" s="117" t="s">
        <v>124</v>
      </c>
      <c r="K90" s="118"/>
      <c r="L90" s="336"/>
      <c r="M90" s="1431"/>
      <c r="N90" s="1431"/>
      <c r="O90" s="1431"/>
      <c r="P90" s="1431"/>
      <c r="Q90" s="1431"/>
      <c r="R90" s="1431"/>
    </row>
    <row r="92" spans="1:18">
      <c r="B92" s="105"/>
      <c r="C92" s="287"/>
      <c r="D92" s="287"/>
      <c r="E92" s="287"/>
      <c r="F92" s="287"/>
      <c r="G92" s="287"/>
      <c r="H92" s="287"/>
    </row>
    <row r="93" spans="1:18">
      <c r="A93" s="148" t="str">
        <f>+⑤基本情報入力!T51</f>
        <v>④</v>
      </c>
      <c r="B93" s="105">
        <f>+⑤基本情報入力!T52</f>
        <v>0</v>
      </c>
      <c r="C93" s="287"/>
      <c r="D93" s="287"/>
      <c r="E93" s="287"/>
      <c r="F93" s="287"/>
      <c r="G93" s="287"/>
      <c r="H93" s="287"/>
    </row>
    <row r="94" spans="1:18">
      <c r="B94" s="354" t="s">
        <v>230</v>
      </c>
      <c r="C94" s="353" t="s">
        <v>231</v>
      </c>
      <c r="D94" s="354" t="s">
        <v>232</v>
      </c>
      <c r="E94" s="352" t="s">
        <v>233</v>
      </c>
      <c r="F94" s="354" t="s">
        <v>23</v>
      </c>
      <c r="G94" s="1440" t="s">
        <v>235</v>
      </c>
      <c r="H94" s="1441"/>
      <c r="I94" s="1415" t="s">
        <v>236</v>
      </c>
      <c r="J94" s="1415"/>
      <c r="K94" s="1442" t="s">
        <v>237</v>
      </c>
      <c r="L94" s="1442"/>
      <c r="M94" s="1443" t="s">
        <v>291</v>
      </c>
      <c r="N94" s="1443"/>
      <c r="O94" s="119" t="s">
        <v>238</v>
      </c>
      <c r="P94" s="119" t="s">
        <v>239</v>
      </c>
      <c r="Q94" s="119" t="s">
        <v>240</v>
      </c>
      <c r="R94" s="354" t="s">
        <v>97</v>
      </c>
    </row>
    <row r="95" spans="1:18" ht="15.75">
      <c r="B95" s="1417"/>
      <c r="C95" s="1419" t="s">
        <v>241</v>
      </c>
      <c r="D95" s="1221" t="s">
        <v>242</v>
      </c>
      <c r="E95" s="357">
        <f>+⑤基本情報入力!T53</f>
        <v>0</v>
      </c>
      <c r="F95" s="78" t="s">
        <v>3</v>
      </c>
      <c r="G95" s="79" t="s">
        <v>11</v>
      </c>
      <c r="H95" s="79" t="s">
        <v>653</v>
      </c>
      <c r="I95" s="80">
        <f>K95*(1-O95)*(P95+P95/((P95+1)^Q95-1))</f>
        <v>0</v>
      </c>
      <c r="J95" s="72" t="s">
        <v>124</v>
      </c>
      <c r="K95" s="70">
        <f>1.31*M95^0.611*E95</f>
        <v>0</v>
      </c>
      <c r="L95" s="79" t="s">
        <v>120</v>
      </c>
      <c r="M95" s="80">
        <f>IFERROR('計算条件（いしかわモデル）'!H25/E95,0)</f>
        <v>0</v>
      </c>
      <c r="N95" s="1221" t="s">
        <v>243</v>
      </c>
      <c r="O95" s="81">
        <f>+⑤基本情報入力!$Y$61</f>
        <v>0.1</v>
      </c>
      <c r="P95" s="82">
        <f>+⑤基本情報入力!$AB$61</f>
        <v>2.3E-2</v>
      </c>
      <c r="Q95" s="83">
        <f>+⑤基本情報入力!$AE$61</f>
        <v>20</v>
      </c>
      <c r="R95" s="72" t="s">
        <v>244</v>
      </c>
    </row>
    <row r="96" spans="1:18" ht="15.75">
      <c r="B96" s="1417"/>
      <c r="C96" s="1419"/>
      <c r="D96" s="1221"/>
      <c r="E96" s="357">
        <v>0</v>
      </c>
      <c r="F96" s="78" t="s">
        <v>8</v>
      </c>
      <c r="G96" s="79" t="s">
        <v>11</v>
      </c>
      <c r="H96" s="79" t="s">
        <v>654</v>
      </c>
      <c r="I96" s="80">
        <f>K96*(1-O96)*(P96+P96/((P96+1)^Q96-1))</f>
        <v>0</v>
      </c>
      <c r="J96" s="72" t="s">
        <v>124</v>
      </c>
      <c r="K96" s="70">
        <f>1.24*M96^0.598*E96</f>
        <v>0</v>
      </c>
      <c r="L96" s="79" t="s">
        <v>120</v>
      </c>
      <c r="M96" s="80">
        <f>+M95</f>
        <v>0</v>
      </c>
      <c r="N96" s="1221"/>
      <c r="O96" s="81">
        <f>+⑤基本情報入力!$Y$63</f>
        <v>0.1</v>
      </c>
      <c r="P96" s="84">
        <f>+⑤基本情報入力!$AB$63</f>
        <v>2.3E-2</v>
      </c>
      <c r="Q96" s="83">
        <f>+⑤基本情報入力!$AE$63</f>
        <v>40</v>
      </c>
      <c r="R96" s="72" t="s">
        <v>244</v>
      </c>
    </row>
    <row r="97" spans="1:19" ht="15.75">
      <c r="B97" s="1417"/>
      <c r="C97" s="1419" t="s">
        <v>22</v>
      </c>
      <c r="D97" s="1221"/>
      <c r="E97" s="357">
        <f>+⑤基本情報入力!T54</f>
        <v>0</v>
      </c>
      <c r="F97" s="78" t="s">
        <v>3</v>
      </c>
      <c r="G97" s="79" t="s">
        <v>11</v>
      </c>
      <c r="H97" s="79" t="s">
        <v>655</v>
      </c>
      <c r="I97" s="80">
        <f>K97*(1-O97)*(P97+P97/((P97+1)^Q97-1))</f>
        <v>0</v>
      </c>
      <c r="J97" s="72" t="s">
        <v>124</v>
      </c>
      <c r="K97" s="70">
        <f>22.7*M97^0.444*E97</f>
        <v>0</v>
      </c>
      <c r="L97" s="79" t="s">
        <v>120</v>
      </c>
      <c r="M97" s="80">
        <f>IFERROR('計算条件（いしかわモデル）'!H25/E97,0)</f>
        <v>0</v>
      </c>
      <c r="N97" s="1221" t="s">
        <v>243</v>
      </c>
      <c r="O97" s="81">
        <f>+⑤基本情報入力!$Y$61</f>
        <v>0.1</v>
      </c>
      <c r="P97" s="82">
        <f>+⑤基本情報入力!$AB$61</f>
        <v>2.3E-2</v>
      </c>
      <c r="Q97" s="83">
        <f>+⑤基本情報入力!$AE$61</f>
        <v>20</v>
      </c>
      <c r="R97" s="72" t="s">
        <v>244</v>
      </c>
    </row>
    <row r="98" spans="1:19" ht="15.75">
      <c r="B98" s="1417"/>
      <c r="C98" s="1419"/>
      <c r="D98" s="1221"/>
      <c r="E98" s="357">
        <v>0</v>
      </c>
      <c r="F98" s="78" t="s">
        <v>8</v>
      </c>
      <c r="G98" s="79" t="s">
        <v>11</v>
      </c>
      <c r="H98" s="79" t="s">
        <v>656</v>
      </c>
      <c r="I98" s="80">
        <f>K98*(1-O98)*(P98+P98/((P98+1)^Q98-1))</f>
        <v>0</v>
      </c>
      <c r="J98" s="72" t="s">
        <v>124</v>
      </c>
      <c r="K98" s="70">
        <f>43.4*M98^0.373*E98</f>
        <v>0</v>
      </c>
      <c r="L98" s="79" t="s">
        <v>120</v>
      </c>
      <c r="M98" s="80">
        <f>+M97</f>
        <v>0</v>
      </c>
      <c r="N98" s="1221"/>
      <c r="O98" s="81">
        <f>+⑤基本情報入力!$Y$63</f>
        <v>0.1</v>
      </c>
      <c r="P98" s="84">
        <f>+⑤基本情報入力!$AB$63</f>
        <v>2.3E-2</v>
      </c>
      <c r="Q98" s="83">
        <f>+⑤基本情報入力!$AE$63</f>
        <v>40</v>
      </c>
      <c r="R98" s="72" t="s">
        <v>244</v>
      </c>
    </row>
    <row r="99" spans="1:19" ht="16.5" thickBot="1">
      <c r="B99" s="1417"/>
      <c r="C99" s="344" t="s">
        <v>246</v>
      </c>
      <c r="D99" s="88"/>
      <c r="E99" s="116">
        <f>+⑤基本情報入力!T53</f>
        <v>0</v>
      </c>
      <c r="F99" s="344" t="s">
        <v>4</v>
      </c>
      <c r="G99" s="87" t="s">
        <v>11</v>
      </c>
      <c r="H99" s="88" t="s">
        <v>657</v>
      </c>
      <c r="I99" s="89">
        <f>K99*(1-O99)*(P99+P99/((P99+1)^Q99-1))</f>
        <v>0</v>
      </c>
      <c r="J99" s="88" t="s">
        <v>124</v>
      </c>
      <c r="K99" s="90">
        <f>17.8*M99^0.464*E99</f>
        <v>0</v>
      </c>
      <c r="L99" s="88" t="s">
        <v>120</v>
      </c>
      <c r="M99" s="89">
        <f>IFERROR('計算条件（いしかわモデル）'!H25/E99,0)</f>
        <v>0</v>
      </c>
      <c r="N99" s="343" t="s">
        <v>243</v>
      </c>
      <c r="O99" s="91">
        <f>+⑤基本情報入力!$Y$62</f>
        <v>0.1</v>
      </c>
      <c r="P99" s="92">
        <f>+⑤基本情報入力!$AB$62</f>
        <v>2.3E-2</v>
      </c>
      <c r="Q99" s="93">
        <f>+⑤基本情報入力!$AE$62</f>
        <v>15</v>
      </c>
      <c r="R99" s="88" t="s">
        <v>247</v>
      </c>
    </row>
    <row r="100" spans="1:19" ht="14.25" thickTop="1">
      <c r="B100" s="1418"/>
      <c r="C100" s="1434" t="s">
        <v>259</v>
      </c>
      <c r="D100" s="1434"/>
      <c r="E100" s="1434"/>
      <c r="F100" s="1434"/>
      <c r="G100" s="1434"/>
      <c r="H100" s="1434"/>
      <c r="I100" s="109">
        <f>SUM(I95:I99)</f>
        <v>0</v>
      </c>
      <c r="J100" s="112" t="s">
        <v>124</v>
      </c>
      <c r="K100" s="111">
        <f>SUM(K95,K97,K99)</f>
        <v>0</v>
      </c>
      <c r="L100" s="112" t="s">
        <v>120</v>
      </c>
      <c r="M100" s="120"/>
      <c r="N100" s="121"/>
      <c r="O100" s="122"/>
      <c r="P100" s="123"/>
      <c r="Q100" s="124"/>
      <c r="R100" s="124"/>
      <c r="S100" s="101"/>
    </row>
    <row r="101" spans="1:19">
      <c r="B101" s="335" t="s">
        <v>260</v>
      </c>
      <c r="C101" s="334" t="s">
        <v>231</v>
      </c>
      <c r="D101" s="334" t="s">
        <v>232</v>
      </c>
      <c r="E101" s="334" t="s">
        <v>233</v>
      </c>
      <c r="F101" s="334" t="s">
        <v>273</v>
      </c>
      <c r="G101" s="1432" t="s">
        <v>235</v>
      </c>
      <c r="H101" s="1432"/>
      <c r="I101" s="1432" t="s">
        <v>237</v>
      </c>
      <c r="J101" s="1432"/>
      <c r="K101" s="1433" t="s">
        <v>291</v>
      </c>
      <c r="L101" s="1433"/>
      <c r="M101" s="1432" t="s">
        <v>97</v>
      </c>
      <c r="N101" s="1432"/>
      <c r="O101" s="1432"/>
      <c r="P101" s="1432"/>
      <c r="Q101" s="1432"/>
      <c r="R101" s="1432"/>
    </row>
    <row r="102" spans="1:19" ht="15.75">
      <c r="B102" s="1435"/>
      <c r="C102" s="338" t="s">
        <v>241</v>
      </c>
      <c r="D102" s="339" t="s">
        <v>242</v>
      </c>
      <c r="E102" s="357">
        <f>+⑤基本情報入力!T53</f>
        <v>0</v>
      </c>
      <c r="F102" s="78" t="s">
        <v>262</v>
      </c>
      <c r="G102" s="79" t="s">
        <v>11</v>
      </c>
      <c r="H102" s="72" t="s">
        <v>658</v>
      </c>
      <c r="I102" s="80">
        <f>0.03*K102^0.628*E102</f>
        <v>0</v>
      </c>
      <c r="J102" s="72" t="s">
        <v>124</v>
      </c>
      <c r="K102" s="80">
        <f>IFERROR('計算条件（いしかわモデル）'!G25/E102,0)</f>
        <v>0</v>
      </c>
      <c r="L102" s="339" t="s">
        <v>243</v>
      </c>
      <c r="M102" s="1217" t="s">
        <v>263</v>
      </c>
      <c r="N102" s="1218"/>
      <c r="O102" s="1218"/>
      <c r="P102" s="1218"/>
      <c r="Q102" s="1218"/>
      <c r="R102" s="1422"/>
    </row>
    <row r="103" spans="1:19" ht="15.75">
      <c r="B103" s="1435"/>
      <c r="C103" s="338" t="s">
        <v>22</v>
      </c>
      <c r="D103" s="339"/>
      <c r="E103" s="357">
        <f>+⑤基本情報入力!T54</f>
        <v>0</v>
      </c>
      <c r="F103" s="78" t="s">
        <v>308</v>
      </c>
      <c r="G103" s="79" t="s">
        <v>11</v>
      </c>
      <c r="H103" s="72" t="s">
        <v>142</v>
      </c>
      <c r="I103" s="80">
        <f>0.039*K103^0.596*E103</f>
        <v>0</v>
      </c>
      <c r="J103" s="72" t="s">
        <v>124</v>
      </c>
      <c r="K103" s="80">
        <f>IFERROR('計算条件（いしかわモデル）'!G25*365/E103,0)</f>
        <v>0</v>
      </c>
      <c r="L103" s="339" t="s">
        <v>265</v>
      </c>
      <c r="M103" s="1217" t="s">
        <v>266</v>
      </c>
      <c r="N103" s="1218"/>
      <c r="O103" s="1218"/>
      <c r="P103" s="1218"/>
      <c r="Q103" s="1218"/>
      <c r="R103" s="1422"/>
    </row>
    <row r="104" spans="1:19" ht="16.5" thickBot="1">
      <c r="B104" s="1435"/>
      <c r="C104" s="344" t="s">
        <v>246</v>
      </c>
      <c r="D104" s="88"/>
      <c r="E104" s="116">
        <f>+⑤基本情報入力!T53</f>
        <v>0</v>
      </c>
      <c r="F104" s="344" t="s">
        <v>267</v>
      </c>
      <c r="G104" s="87" t="s">
        <v>11</v>
      </c>
      <c r="H104" s="88" t="s">
        <v>141</v>
      </c>
      <c r="I104" s="89">
        <f>0.0024*K104^0.533*E104</f>
        <v>0</v>
      </c>
      <c r="J104" s="88" t="s">
        <v>124</v>
      </c>
      <c r="K104" s="89">
        <f>IFERROR('計算条件（いしかわモデル）'!G25*365/E104,0)</f>
        <v>0</v>
      </c>
      <c r="L104" s="343" t="s">
        <v>265</v>
      </c>
      <c r="M104" s="1437" t="s">
        <v>266</v>
      </c>
      <c r="N104" s="1438"/>
      <c r="O104" s="1438"/>
      <c r="P104" s="1438"/>
      <c r="Q104" s="1438"/>
      <c r="R104" s="1439"/>
    </row>
    <row r="105" spans="1:19" ht="14.25" thickTop="1">
      <c r="B105" s="1436"/>
      <c r="C105" s="1434" t="s">
        <v>259</v>
      </c>
      <c r="D105" s="1434"/>
      <c r="E105" s="1434"/>
      <c r="F105" s="1434"/>
      <c r="G105" s="1434"/>
      <c r="H105" s="1434"/>
      <c r="I105" s="109">
        <f>SUM(I102:I104)</f>
        <v>0</v>
      </c>
      <c r="J105" s="117" t="s">
        <v>124</v>
      </c>
    </row>
    <row r="108" spans="1:19">
      <c r="A108" s="148" t="str">
        <f>+⑤基本情報入力!Y51</f>
        <v>⑤</v>
      </c>
      <c r="B108" s="58">
        <f>+⑤基本情報入力!Y52</f>
        <v>0</v>
      </c>
    </row>
    <row r="109" spans="1:19">
      <c r="B109" s="352" t="s">
        <v>230</v>
      </c>
      <c r="C109" s="337" t="s">
        <v>231</v>
      </c>
      <c r="D109" s="337" t="s">
        <v>232</v>
      </c>
      <c r="E109" s="337" t="s">
        <v>233</v>
      </c>
      <c r="F109" s="337" t="s">
        <v>23</v>
      </c>
      <c r="G109" s="1415" t="s">
        <v>235</v>
      </c>
      <c r="H109" s="1415"/>
      <c r="I109" s="1415" t="s">
        <v>236</v>
      </c>
      <c r="J109" s="1415"/>
      <c r="K109" s="1415" t="s">
        <v>237</v>
      </c>
      <c r="L109" s="1415"/>
      <c r="M109" s="1416" t="s">
        <v>291</v>
      </c>
      <c r="N109" s="1416"/>
      <c r="O109" s="77" t="s">
        <v>238</v>
      </c>
      <c r="P109" s="77" t="s">
        <v>239</v>
      </c>
      <c r="Q109" s="77" t="s">
        <v>240</v>
      </c>
      <c r="R109" s="337" t="s">
        <v>97</v>
      </c>
    </row>
    <row r="110" spans="1:19" ht="15.75">
      <c r="B110" s="1417"/>
      <c r="C110" s="1419" t="s">
        <v>241</v>
      </c>
      <c r="D110" s="1221" t="s">
        <v>242</v>
      </c>
      <c r="E110" s="357">
        <f>+⑤基本情報入力!Y53</f>
        <v>0</v>
      </c>
      <c r="F110" s="78" t="s">
        <v>3</v>
      </c>
      <c r="G110" s="79" t="s">
        <v>11</v>
      </c>
      <c r="H110" s="79" t="s">
        <v>653</v>
      </c>
      <c r="I110" s="80">
        <f>K110*(1-O110)*(P110+P110/((P110+1)^Q110-1))</f>
        <v>0</v>
      </c>
      <c r="J110" s="72" t="s">
        <v>124</v>
      </c>
      <c r="K110" s="70">
        <f>1.31*M110^0.611*E110</f>
        <v>0</v>
      </c>
      <c r="L110" s="79" t="s">
        <v>120</v>
      </c>
      <c r="M110" s="80">
        <f>IFERROR('計算条件（いしかわモデル）'!H31/E110,0)</f>
        <v>0</v>
      </c>
      <c r="N110" s="1221" t="s">
        <v>243</v>
      </c>
      <c r="O110" s="81">
        <f>+⑤基本情報入力!$Y$61</f>
        <v>0.1</v>
      </c>
      <c r="P110" s="82">
        <f>+⑤基本情報入力!$AB$61</f>
        <v>2.3E-2</v>
      </c>
      <c r="Q110" s="83">
        <f>+⑤基本情報入力!$AE$61</f>
        <v>20</v>
      </c>
      <c r="R110" s="72" t="s">
        <v>244</v>
      </c>
    </row>
    <row r="111" spans="1:19" ht="15.75">
      <c r="B111" s="1417"/>
      <c r="C111" s="1419"/>
      <c r="D111" s="1221"/>
      <c r="E111" s="357">
        <v>0</v>
      </c>
      <c r="F111" s="78" t="s">
        <v>8</v>
      </c>
      <c r="G111" s="79" t="s">
        <v>11</v>
      </c>
      <c r="H111" s="79" t="s">
        <v>654</v>
      </c>
      <c r="I111" s="80">
        <f>K111*(1-O111)*(P111+P111/((P111+1)^Q111-1))</f>
        <v>0</v>
      </c>
      <c r="J111" s="72" t="s">
        <v>124</v>
      </c>
      <c r="K111" s="70">
        <f>1.24*M111^0.598*E111</f>
        <v>0</v>
      </c>
      <c r="L111" s="79" t="s">
        <v>120</v>
      </c>
      <c r="M111" s="80">
        <f>+M110</f>
        <v>0</v>
      </c>
      <c r="N111" s="1221"/>
      <c r="O111" s="81">
        <f>+⑤基本情報入力!$Y$63</f>
        <v>0.1</v>
      </c>
      <c r="P111" s="84">
        <f>+⑤基本情報入力!$AB$63</f>
        <v>2.3E-2</v>
      </c>
      <c r="Q111" s="83">
        <f>+⑤基本情報入力!$AE$63</f>
        <v>40</v>
      </c>
      <c r="R111" s="72" t="s">
        <v>244</v>
      </c>
    </row>
    <row r="112" spans="1:19" ht="15.75">
      <c r="B112" s="1417"/>
      <c r="C112" s="1419" t="s">
        <v>22</v>
      </c>
      <c r="D112" s="1221"/>
      <c r="E112" s="357">
        <f>+⑤基本情報入力!Y54</f>
        <v>0</v>
      </c>
      <c r="F112" s="78" t="s">
        <v>3</v>
      </c>
      <c r="G112" s="79" t="s">
        <v>11</v>
      </c>
      <c r="H112" s="79" t="s">
        <v>655</v>
      </c>
      <c r="I112" s="80">
        <f>K112*(1-O112)*(P112+P112/((P112+1)^Q112-1))</f>
        <v>0</v>
      </c>
      <c r="J112" s="72" t="s">
        <v>124</v>
      </c>
      <c r="K112" s="70">
        <f>22.7*M112^0.444*E112</f>
        <v>0</v>
      </c>
      <c r="L112" s="79" t="s">
        <v>120</v>
      </c>
      <c r="M112" s="80">
        <f>IFERROR('計算条件（いしかわモデル）'!H31/E112,0)</f>
        <v>0</v>
      </c>
      <c r="N112" s="1221" t="s">
        <v>243</v>
      </c>
      <c r="O112" s="81">
        <f>+⑤基本情報入力!$Y$61</f>
        <v>0.1</v>
      </c>
      <c r="P112" s="82">
        <f>+⑤基本情報入力!$AB$61</f>
        <v>2.3E-2</v>
      </c>
      <c r="Q112" s="83">
        <f>+⑤基本情報入力!$AE$61</f>
        <v>20</v>
      </c>
      <c r="R112" s="72" t="s">
        <v>244</v>
      </c>
    </row>
    <row r="113" spans="1:18" ht="15.75">
      <c r="B113" s="1417"/>
      <c r="C113" s="1419"/>
      <c r="D113" s="1221"/>
      <c r="E113" s="357">
        <v>0</v>
      </c>
      <c r="F113" s="78" t="s">
        <v>8</v>
      </c>
      <c r="G113" s="79" t="s">
        <v>11</v>
      </c>
      <c r="H113" s="79" t="s">
        <v>656</v>
      </c>
      <c r="I113" s="80">
        <f>K113*(1-O113)*(P113+P113/((P113+1)^Q113-1))</f>
        <v>0</v>
      </c>
      <c r="J113" s="72" t="s">
        <v>124</v>
      </c>
      <c r="K113" s="70">
        <f>43.4*M113^0.373*E113</f>
        <v>0</v>
      </c>
      <c r="L113" s="79" t="s">
        <v>120</v>
      </c>
      <c r="M113" s="80">
        <f>+M112</f>
        <v>0</v>
      </c>
      <c r="N113" s="1221"/>
      <c r="O113" s="81">
        <f>+⑤基本情報入力!$Y$63</f>
        <v>0.1</v>
      </c>
      <c r="P113" s="84">
        <f>+⑤基本情報入力!$AB$63</f>
        <v>2.3E-2</v>
      </c>
      <c r="Q113" s="83">
        <f>+⑤基本情報入力!$AE$63</f>
        <v>40</v>
      </c>
      <c r="R113" s="72" t="s">
        <v>244</v>
      </c>
    </row>
    <row r="114" spans="1:18" ht="16.5" thickBot="1">
      <c r="B114" s="1417"/>
      <c r="C114" s="344" t="s">
        <v>246</v>
      </c>
      <c r="D114" s="88"/>
      <c r="E114" s="116">
        <f>+⑤基本情報入力!Y53</f>
        <v>0</v>
      </c>
      <c r="F114" s="344" t="s">
        <v>4</v>
      </c>
      <c r="G114" s="87" t="s">
        <v>11</v>
      </c>
      <c r="H114" s="88" t="s">
        <v>657</v>
      </c>
      <c r="I114" s="89">
        <f>K114*(1-O114)*(P114+P114/((P114+1)^Q114-1))</f>
        <v>0</v>
      </c>
      <c r="J114" s="88" t="s">
        <v>124</v>
      </c>
      <c r="K114" s="90">
        <f>17.8*M114^0.464*E114</f>
        <v>0</v>
      </c>
      <c r="L114" s="88" t="s">
        <v>120</v>
      </c>
      <c r="M114" s="89">
        <f>IFERROR('計算条件（いしかわモデル）'!H31/E114,0)</f>
        <v>0</v>
      </c>
      <c r="N114" s="343" t="s">
        <v>243</v>
      </c>
      <c r="O114" s="91">
        <f>+⑤基本情報入力!$Y$62</f>
        <v>0.1</v>
      </c>
      <c r="P114" s="92">
        <f>+⑤基本情報入力!$AB$62</f>
        <v>2.3E-2</v>
      </c>
      <c r="Q114" s="93">
        <f>+⑤基本情報入力!$AE$62</f>
        <v>15</v>
      </c>
      <c r="R114" s="88" t="s">
        <v>247</v>
      </c>
    </row>
    <row r="115" spans="1:18" ht="14.25" thickTop="1">
      <c r="B115" s="1418"/>
      <c r="C115" s="1434" t="s">
        <v>259</v>
      </c>
      <c r="D115" s="1434"/>
      <c r="E115" s="1434"/>
      <c r="F115" s="1434"/>
      <c r="G115" s="1434"/>
      <c r="H115" s="1434"/>
      <c r="I115" s="109">
        <f>SUM(I110:I114)</f>
        <v>0</v>
      </c>
      <c r="J115" s="112" t="s">
        <v>124</v>
      </c>
      <c r="K115" s="111">
        <f>SUM(K110,K112,K114)</f>
        <v>0</v>
      </c>
      <c r="L115" s="112" t="s">
        <v>120</v>
      </c>
    </row>
    <row r="116" spans="1:18">
      <c r="B116" s="125" t="s">
        <v>260</v>
      </c>
      <c r="C116" s="334" t="s">
        <v>231</v>
      </c>
      <c r="D116" s="334" t="s">
        <v>232</v>
      </c>
      <c r="E116" s="334" t="s">
        <v>233</v>
      </c>
      <c r="F116" s="334" t="s">
        <v>273</v>
      </c>
      <c r="G116" s="1432" t="s">
        <v>235</v>
      </c>
      <c r="H116" s="1432"/>
      <c r="I116" s="1432" t="s">
        <v>237</v>
      </c>
      <c r="J116" s="1432"/>
      <c r="K116" s="1433" t="s">
        <v>291</v>
      </c>
      <c r="L116" s="1433"/>
      <c r="M116" s="1432" t="s">
        <v>97</v>
      </c>
      <c r="N116" s="1432"/>
      <c r="O116" s="1432"/>
      <c r="P116" s="1432"/>
      <c r="Q116" s="1432"/>
      <c r="R116" s="1432"/>
    </row>
    <row r="117" spans="1:18" ht="15.75">
      <c r="B117" s="1435"/>
      <c r="C117" s="338" t="s">
        <v>241</v>
      </c>
      <c r="D117" s="339" t="s">
        <v>242</v>
      </c>
      <c r="E117" s="357">
        <f>+⑤基本情報入力!Y53</f>
        <v>0</v>
      </c>
      <c r="F117" s="78" t="s">
        <v>262</v>
      </c>
      <c r="G117" s="79" t="s">
        <v>11</v>
      </c>
      <c r="H117" s="72" t="s">
        <v>658</v>
      </c>
      <c r="I117" s="80">
        <f>0.03*K117^0.628*E117</f>
        <v>0</v>
      </c>
      <c r="J117" s="72" t="s">
        <v>124</v>
      </c>
      <c r="K117" s="80">
        <f>IFERROR('計算条件（いしかわモデル）'!G31/E117,0)</f>
        <v>0</v>
      </c>
      <c r="L117" s="339" t="s">
        <v>243</v>
      </c>
      <c r="M117" s="1217" t="s">
        <v>263</v>
      </c>
      <c r="N117" s="1218"/>
      <c r="O117" s="1218"/>
      <c r="P117" s="1218"/>
      <c r="Q117" s="1218"/>
      <c r="R117" s="1422"/>
    </row>
    <row r="118" spans="1:18" ht="15.75">
      <c r="B118" s="1435"/>
      <c r="C118" s="338" t="s">
        <v>22</v>
      </c>
      <c r="D118" s="339"/>
      <c r="E118" s="357">
        <f>+⑤基本情報入力!Y54</f>
        <v>0</v>
      </c>
      <c r="F118" s="78" t="s">
        <v>308</v>
      </c>
      <c r="G118" s="79" t="s">
        <v>11</v>
      </c>
      <c r="H118" s="72" t="s">
        <v>142</v>
      </c>
      <c r="I118" s="80">
        <f>0.039*K118^0.596*E118</f>
        <v>0</v>
      </c>
      <c r="J118" s="72" t="s">
        <v>124</v>
      </c>
      <c r="K118" s="80">
        <f>IFERROR('計算条件（いしかわモデル）'!G31*365/E118,0)</f>
        <v>0</v>
      </c>
      <c r="L118" s="339" t="s">
        <v>265</v>
      </c>
      <c r="M118" s="1217" t="s">
        <v>266</v>
      </c>
      <c r="N118" s="1218"/>
      <c r="O118" s="1218"/>
      <c r="P118" s="1218"/>
      <c r="Q118" s="1218"/>
      <c r="R118" s="1422"/>
    </row>
    <row r="119" spans="1:18" ht="16.5" thickBot="1">
      <c r="B119" s="1435"/>
      <c r="C119" s="344" t="s">
        <v>246</v>
      </c>
      <c r="D119" s="88"/>
      <c r="E119" s="116">
        <f>+⑤基本情報入力!Y53</f>
        <v>0</v>
      </c>
      <c r="F119" s="344" t="s">
        <v>267</v>
      </c>
      <c r="G119" s="87" t="s">
        <v>11</v>
      </c>
      <c r="H119" s="88" t="s">
        <v>141</v>
      </c>
      <c r="I119" s="89">
        <f>0.0024*K119^0.533*E119</f>
        <v>0</v>
      </c>
      <c r="J119" s="88" t="s">
        <v>124</v>
      </c>
      <c r="K119" s="89">
        <f>IFERROR('計算条件（いしかわモデル）'!G31*365/E119,0)</f>
        <v>0</v>
      </c>
      <c r="L119" s="343" t="s">
        <v>265</v>
      </c>
      <c r="M119" s="1437" t="s">
        <v>266</v>
      </c>
      <c r="N119" s="1438"/>
      <c r="O119" s="1438"/>
      <c r="P119" s="1438"/>
      <c r="Q119" s="1438"/>
      <c r="R119" s="1439"/>
    </row>
    <row r="120" spans="1:18" ht="14.25" thickTop="1">
      <c r="B120" s="1436"/>
      <c r="C120" s="1434" t="s">
        <v>259</v>
      </c>
      <c r="D120" s="1434"/>
      <c r="E120" s="1434"/>
      <c r="F120" s="1434"/>
      <c r="G120" s="1434"/>
      <c r="H120" s="1434"/>
      <c r="I120" s="109">
        <f>SUM(I117:I119)</f>
        <v>0</v>
      </c>
      <c r="J120" s="117" t="s">
        <v>124</v>
      </c>
    </row>
    <row r="122" spans="1:18">
      <c r="A122" s="148" t="str">
        <f>+⑤基本情報入力!AD51</f>
        <v>⑥</v>
      </c>
      <c r="B122" s="58">
        <f>+⑤基本情報入力!AD52</f>
        <v>0</v>
      </c>
    </row>
    <row r="123" spans="1:18">
      <c r="B123" s="354" t="s">
        <v>230</v>
      </c>
      <c r="C123" s="337" t="s">
        <v>231</v>
      </c>
      <c r="D123" s="337" t="s">
        <v>232</v>
      </c>
      <c r="E123" s="337" t="s">
        <v>233</v>
      </c>
      <c r="F123" s="337" t="s">
        <v>23</v>
      </c>
      <c r="G123" s="1444" t="s">
        <v>235</v>
      </c>
      <c r="H123" s="1445"/>
      <c r="I123" s="1444" t="s">
        <v>236</v>
      </c>
      <c r="J123" s="1445"/>
      <c r="K123" s="1444" t="s">
        <v>237</v>
      </c>
      <c r="L123" s="1445"/>
      <c r="M123" s="1446" t="s">
        <v>291</v>
      </c>
      <c r="N123" s="1447"/>
      <c r="O123" s="77" t="s">
        <v>238</v>
      </c>
      <c r="P123" s="77" t="s">
        <v>239</v>
      </c>
      <c r="Q123" s="77" t="s">
        <v>240</v>
      </c>
      <c r="R123" s="337" t="s">
        <v>97</v>
      </c>
    </row>
    <row r="124" spans="1:18" ht="15.75">
      <c r="B124" s="1417"/>
      <c r="C124" s="1423" t="s">
        <v>241</v>
      </c>
      <c r="D124" s="1347" t="s">
        <v>242</v>
      </c>
      <c r="E124" s="357">
        <f>+⑤基本情報入力!AD53</f>
        <v>0</v>
      </c>
      <c r="F124" s="78" t="s">
        <v>3</v>
      </c>
      <c r="G124" s="79" t="s">
        <v>11</v>
      </c>
      <c r="H124" s="79" t="s">
        <v>653</v>
      </c>
      <c r="I124" s="80">
        <f>K124*(1-O124)*(P124+P124/((P124+1)^Q124-1))</f>
        <v>0</v>
      </c>
      <c r="J124" s="72" t="s">
        <v>124</v>
      </c>
      <c r="K124" s="70">
        <f>1.31*M124^0.611*E124</f>
        <v>0</v>
      </c>
      <c r="L124" s="79" t="s">
        <v>120</v>
      </c>
      <c r="M124" s="80">
        <f>IFERROR('計算条件（いしかわモデル）'!H37/E124,0)</f>
        <v>0</v>
      </c>
      <c r="N124" s="1347" t="s">
        <v>243</v>
      </c>
      <c r="O124" s="81">
        <f>+⑤基本情報入力!$Y$61</f>
        <v>0.1</v>
      </c>
      <c r="P124" s="82">
        <f>+⑤基本情報入力!$AB$61</f>
        <v>2.3E-2</v>
      </c>
      <c r="Q124" s="83">
        <f>+⑤基本情報入力!$AE$61</f>
        <v>20</v>
      </c>
      <c r="R124" s="72" t="s">
        <v>244</v>
      </c>
    </row>
    <row r="125" spans="1:18" ht="15.75">
      <c r="B125" s="1417"/>
      <c r="C125" s="1453"/>
      <c r="D125" s="1349"/>
      <c r="E125" s="359">
        <v>0</v>
      </c>
      <c r="F125" s="78" t="s">
        <v>8</v>
      </c>
      <c r="G125" s="79" t="s">
        <v>11</v>
      </c>
      <c r="H125" s="79" t="s">
        <v>654</v>
      </c>
      <c r="I125" s="80">
        <f>K125*(1-O125)*(P125+P125/((P125+1)^Q125-1))</f>
        <v>0</v>
      </c>
      <c r="J125" s="72" t="s">
        <v>124</v>
      </c>
      <c r="K125" s="70">
        <f>1.24*M125^0.598*E125</f>
        <v>0</v>
      </c>
      <c r="L125" s="79" t="s">
        <v>120</v>
      </c>
      <c r="M125" s="80">
        <f>+M124</f>
        <v>0</v>
      </c>
      <c r="N125" s="1349"/>
      <c r="O125" s="81">
        <f>+⑤基本情報入力!$Y$63</f>
        <v>0.1</v>
      </c>
      <c r="P125" s="84">
        <f>+⑤基本情報入力!$AB$63</f>
        <v>2.3E-2</v>
      </c>
      <c r="Q125" s="83">
        <f>+⑤基本情報入力!$AE$63</f>
        <v>40</v>
      </c>
      <c r="R125" s="72" t="s">
        <v>244</v>
      </c>
    </row>
    <row r="126" spans="1:18" ht="15.75">
      <c r="B126" s="1417"/>
      <c r="C126" s="1423" t="s">
        <v>22</v>
      </c>
      <c r="D126" s="1347"/>
      <c r="E126" s="357">
        <f>+⑤基本情報入力!AD54</f>
        <v>0</v>
      </c>
      <c r="F126" s="78" t="s">
        <v>3</v>
      </c>
      <c r="G126" s="79" t="s">
        <v>11</v>
      </c>
      <c r="H126" s="79" t="s">
        <v>655</v>
      </c>
      <c r="I126" s="80">
        <f>K126*(1-O126)*(P126+P126/((P126+1)^Q126-1))</f>
        <v>0</v>
      </c>
      <c r="J126" s="72" t="s">
        <v>124</v>
      </c>
      <c r="K126" s="70">
        <f>22.7*M126^0.444*E126</f>
        <v>0</v>
      </c>
      <c r="L126" s="79" t="s">
        <v>120</v>
      </c>
      <c r="M126" s="80">
        <f>IFERROR('計算条件（いしかわモデル）'!H37/E126,0)</f>
        <v>0</v>
      </c>
      <c r="N126" s="1347" t="s">
        <v>243</v>
      </c>
      <c r="O126" s="81">
        <f>+⑤基本情報入力!$Y$61</f>
        <v>0.1</v>
      </c>
      <c r="P126" s="82">
        <f>+⑤基本情報入力!$AB$61</f>
        <v>2.3E-2</v>
      </c>
      <c r="Q126" s="83">
        <f>+⑤基本情報入力!$AE$61</f>
        <v>20</v>
      </c>
      <c r="R126" s="72" t="s">
        <v>244</v>
      </c>
    </row>
    <row r="127" spans="1:18" ht="15.75">
      <c r="B127" s="1417"/>
      <c r="C127" s="1453"/>
      <c r="D127" s="1349"/>
      <c r="E127" s="359">
        <v>0</v>
      </c>
      <c r="F127" s="78" t="s">
        <v>8</v>
      </c>
      <c r="G127" s="79" t="s">
        <v>11</v>
      </c>
      <c r="H127" s="79" t="s">
        <v>656</v>
      </c>
      <c r="I127" s="80">
        <f>K127*(1-O127)*(P127+P127/((P127+1)^Q127-1))</f>
        <v>0</v>
      </c>
      <c r="J127" s="72" t="s">
        <v>124</v>
      </c>
      <c r="K127" s="70">
        <f>43.4*M127^0.373*E127</f>
        <v>0</v>
      </c>
      <c r="L127" s="79" t="s">
        <v>120</v>
      </c>
      <c r="M127" s="80">
        <f>+M126</f>
        <v>0</v>
      </c>
      <c r="N127" s="1349"/>
      <c r="O127" s="81">
        <f>+⑤基本情報入力!$Y$63</f>
        <v>0.1</v>
      </c>
      <c r="P127" s="84">
        <f>+⑤基本情報入力!$AB$63</f>
        <v>2.3E-2</v>
      </c>
      <c r="Q127" s="83">
        <f>+⑤基本情報入力!$AE$63</f>
        <v>40</v>
      </c>
      <c r="R127" s="72" t="s">
        <v>244</v>
      </c>
    </row>
    <row r="128" spans="1:18" ht="16.5" thickBot="1">
      <c r="B128" s="1417"/>
      <c r="C128" s="344" t="s">
        <v>246</v>
      </c>
      <c r="D128" s="88"/>
      <c r="E128" s="116">
        <f>+⑤基本情報入力!AD53</f>
        <v>0</v>
      </c>
      <c r="F128" s="344" t="s">
        <v>4</v>
      </c>
      <c r="G128" s="87" t="s">
        <v>11</v>
      </c>
      <c r="H128" s="88" t="s">
        <v>657</v>
      </c>
      <c r="I128" s="89">
        <f>K128*(1-O128)*(P128+P128/((P128+1)^Q128-1))</f>
        <v>0</v>
      </c>
      <c r="J128" s="88" t="s">
        <v>124</v>
      </c>
      <c r="K128" s="90">
        <f>17.8*M128^0.464*E128</f>
        <v>0</v>
      </c>
      <c r="L128" s="88" t="s">
        <v>120</v>
      </c>
      <c r="M128" s="89">
        <f>IFERROR('計算条件（いしかわモデル）'!H37/E128,0)</f>
        <v>0</v>
      </c>
      <c r="N128" s="343" t="s">
        <v>243</v>
      </c>
      <c r="O128" s="91">
        <f>+⑤基本情報入力!$Y$62</f>
        <v>0.1</v>
      </c>
      <c r="P128" s="92">
        <f>+⑤基本情報入力!$AB$62</f>
        <v>2.3E-2</v>
      </c>
      <c r="Q128" s="93">
        <f>+⑤基本情報入力!$AE$62</f>
        <v>15</v>
      </c>
      <c r="R128" s="88" t="s">
        <v>247</v>
      </c>
    </row>
    <row r="129" spans="1:18" ht="14.25" thickTop="1">
      <c r="B129" s="1418"/>
      <c r="C129" s="1448" t="s">
        <v>259</v>
      </c>
      <c r="D129" s="1449"/>
      <c r="E129" s="1449"/>
      <c r="F129" s="1449"/>
      <c r="G129" s="1449"/>
      <c r="H129" s="1450"/>
      <c r="I129" s="109">
        <f>SUM(I124:I128)</f>
        <v>0</v>
      </c>
      <c r="J129" s="112" t="s">
        <v>124</v>
      </c>
      <c r="K129" s="111">
        <f>SUM(K124,K126,K128)</f>
        <v>0</v>
      </c>
      <c r="L129" s="112" t="s">
        <v>120</v>
      </c>
      <c r="M129" s="113"/>
      <c r="N129" s="336"/>
      <c r="O129" s="99"/>
      <c r="P129" s="100"/>
      <c r="Q129" s="101"/>
      <c r="R129" s="101"/>
    </row>
    <row r="130" spans="1:18">
      <c r="B130" s="335" t="s">
        <v>260</v>
      </c>
      <c r="C130" s="334" t="s">
        <v>231</v>
      </c>
      <c r="D130" s="334" t="s">
        <v>232</v>
      </c>
      <c r="E130" s="334" t="s">
        <v>233</v>
      </c>
      <c r="F130" s="334" t="s">
        <v>273</v>
      </c>
      <c r="G130" s="1451" t="s">
        <v>235</v>
      </c>
      <c r="H130" s="1452"/>
      <c r="I130" s="1451" t="s">
        <v>237</v>
      </c>
      <c r="J130" s="1452"/>
      <c r="K130" s="1454" t="s">
        <v>291</v>
      </c>
      <c r="L130" s="1455"/>
      <c r="M130" s="1451" t="s">
        <v>97</v>
      </c>
      <c r="N130" s="1456"/>
      <c r="O130" s="1456"/>
      <c r="P130" s="1456"/>
      <c r="Q130" s="1456"/>
      <c r="R130" s="1452"/>
    </row>
    <row r="131" spans="1:18" ht="15.75">
      <c r="B131" s="1435"/>
      <c r="C131" s="338" t="s">
        <v>241</v>
      </c>
      <c r="D131" s="339" t="s">
        <v>242</v>
      </c>
      <c r="E131" s="357">
        <f>+⑤基本情報入力!AD53</f>
        <v>0</v>
      </c>
      <c r="F131" s="78" t="s">
        <v>262</v>
      </c>
      <c r="G131" s="79" t="s">
        <v>11</v>
      </c>
      <c r="H131" s="72" t="s">
        <v>658</v>
      </c>
      <c r="I131" s="80">
        <f>0.03*K131^0.628*E131</f>
        <v>0</v>
      </c>
      <c r="J131" s="72" t="s">
        <v>124</v>
      </c>
      <c r="K131" s="80">
        <f>IFERROR('計算条件（いしかわモデル）'!G37/E131,0)</f>
        <v>0</v>
      </c>
      <c r="L131" s="339" t="s">
        <v>243</v>
      </c>
      <c r="M131" s="1217" t="s">
        <v>263</v>
      </c>
      <c r="N131" s="1218"/>
      <c r="O131" s="1218"/>
      <c r="P131" s="1218"/>
      <c r="Q131" s="1218"/>
      <c r="R131" s="1422"/>
    </row>
    <row r="132" spans="1:18" ht="15.75">
      <c r="B132" s="1435"/>
      <c r="C132" s="338" t="s">
        <v>22</v>
      </c>
      <c r="D132" s="339"/>
      <c r="E132" s="357">
        <f>+⑤基本情報入力!AD54</f>
        <v>0</v>
      </c>
      <c r="F132" s="78" t="s">
        <v>308</v>
      </c>
      <c r="G132" s="79" t="s">
        <v>11</v>
      </c>
      <c r="H132" s="72" t="s">
        <v>142</v>
      </c>
      <c r="I132" s="80">
        <f>0.039*K132^0.596*E132</f>
        <v>0</v>
      </c>
      <c r="J132" s="72" t="s">
        <v>124</v>
      </c>
      <c r="K132" s="80">
        <f>IFERROR('計算条件（いしかわモデル）'!G37*365/E132,0)</f>
        <v>0</v>
      </c>
      <c r="L132" s="339" t="s">
        <v>265</v>
      </c>
      <c r="M132" s="1217" t="s">
        <v>266</v>
      </c>
      <c r="N132" s="1218"/>
      <c r="O132" s="1218"/>
      <c r="P132" s="1218"/>
      <c r="Q132" s="1218"/>
      <c r="R132" s="1422"/>
    </row>
    <row r="133" spans="1:18" ht="16.5" thickBot="1">
      <c r="B133" s="1435"/>
      <c r="C133" s="344" t="s">
        <v>246</v>
      </c>
      <c r="D133" s="88"/>
      <c r="E133" s="116">
        <f>+⑤基本情報入力!AD53</f>
        <v>0</v>
      </c>
      <c r="F133" s="344" t="s">
        <v>267</v>
      </c>
      <c r="G133" s="87" t="s">
        <v>11</v>
      </c>
      <c r="H133" s="88" t="s">
        <v>141</v>
      </c>
      <c r="I133" s="89">
        <f>0.0024*K133^0.533*E133</f>
        <v>0</v>
      </c>
      <c r="J133" s="88" t="s">
        <v>124</v>
      </c>
      <c r="K133" s="89">
        <f>IFERROR('計算条件（いしかわモデル）'!G37*365/E133,0)</f>
        <v>0</v>
      </c>
      <c r="L133" s="343" t="s">
        <v>265</v>
      </c>
      <c r="M133" s="1437" t="s">
        <v>266</v>
      </c>
      <c r="N133" s="1438"/>
      <c r="O133" s="1438"/>
      <c r="P133" s="1438"/>
      <c r="Q133" s="1438"/>
      <c r="R133" s="1439"/>
    </row>
    <row r="134" spans="1:18" ht="14.25" thickTop="1">
      <c r="B134" s="1436"/>
      <c r="C134" s="1448" t="s">
        <v>259</v>
      </c>
      <c r="D134" s="1449"/>
      <c r="E134" s="1449"/>
      <c r="F134" s="1449"/>
      <c r="G134" s="1449"/>
      <c r="H134" s="1450"/>
      <c r="I134" s="109">
        <f>SUM(I131:I133)</f>
        <v>0</v>
      </c>
      <c r="J134" s="117" t="s">
        <v>124</v>
      </c>
      <c r="K134" s="118"/>
      <c r="L134" s="336"/>
      <c r="M134" s="1523"/>
      <c r="N134" s="1523"/>
      <c r="O134" s="1523"/>
      <c r="P134" s="1523"/>
      <c r="Q134" s="1523"/>
      <c r="R134" s="1523"/>
    </row>
    <row r="136" spans="1:18">
      <c r="A136" s="148" t="str">
        <f>+⑤基本情報入力!AI51</f>
        <v>⑦</v>
      </c>
      <c r="B136" s="58">
        <f>+⑤基本情報入力!AI52</f>
        <v>0</v>
      </c>
    </row>
    <row r="137" spans="1:18">
      <c r="B137" s="354" t="s">
        <v>230</v>
      </c>
      <c r="C137" s="337" t="s">
        <v>231</v>
      </c>
      <c r="D137" s="337" t="s">
        <v>232</v>
      </c>
      <c r="E137" s="337" t="s">
        <v>233</v>
      </c>
      <c r="F137" s="337" t="s">
        <v>23</v>
      </c>
      <c r="G137" s="1444" t="s">
        <v>235</v>
      </c>
      <c r="H137" s="1445"/>
      <c r="I137" s="1444" t="s">
        <v>236</v>
      </c>
      <c r="J137" s="1445"/>
      <c r="K137" s="1444" t="s">
        <v>237</v>
      </c>
      <c r="L137" s="1445"/>
      <c r="M137" s="1446" t="s">
        <v>291</v>
      </c>
      <c r="N137" s="1447"/>
      <c r="O137" s="77" t="s">
        <v>238</v>
      </c>
      <c r="P137" s="77" t="s">
        <v>239</v>
      </c>
      <c r="Q137" s="77" t="s">
        <v>240</v>
      </c>
      <c r="R137" s="337" t="s">
        <v>97</v>
      </c>
    </row>
    <row r="138" spans="1:18" ht="15.75">
      <c r="B138" s="1417"/>
      <c r="C138" s="1423" t="s">
        <v>241</v>
      </c>
      <c r="D138" s="1347" t="s">
        <v>242</v>
      </c>
      <c r="E138" s="357">
        <f>+⑤基本情報入力!AI53</f>
        <v>0</v>
      </c>
      <c r="F138" s="78" t="s">
        <v>3</v>
      </c>
      <c r="G138" s="79" t="s">
        <v>11</v>
      </c>
      <c r="H138" s="79" t="s">
        <v>653</v>
      </c>
      <c r="I138" s="80">
        <f>K138*(1-O138)*(P138+P138/((P138+1)^Q138-1))</f>
        <v>0</v>
      </c>
      <c r="J138" s="72" t="s">
        <v>124</v>
      </c>
      <c r="K138" s="70">
        <f>1.31*M138^0.611*E138</f>
        <v>0</v>
      </c>
      <c r="L138" s="79" t="s">
        <v>120</v>
      </c>
      <c r="M138" s="80">
        <f>IFERROR('計算条件（いしかわモデル）'!H43/E138,0)</f>
        <v>0</v>
      </c>
      <c r="N138" s="1347" t="s">
        <v>243</v>
      </c>
      <c r="O138" s="81">
        <f>+⑤基本情報入力!$Y$61</f>
        <v>0.1</v>
      </c>
      <c r="P138" s="82">
        <f>+⑤基本情報入力!$AB$61</f>
        <v>2.3E-2</v>
      </c>
      <c r="Q138" s="83">
        <f>+⑤基本情報入力!$AE$61</f>
        <v>20</v>
      </c>
      <c r="R138" s="72" t="s">
        <v>244</v>
      </c>
    </row>
    <row r="139" spans="1:18" ht="15.75">
      <c r="B139" s="1417"/>
      <c r="C139" s="1453"/>
      <c r="D139" s="1349"/>
      <c r="E139" s="359">
        <v>0</v>
      </c>
      <c r="F139" s="78" t="s">
        <v>8</v>
      </c>
      <c r="G139" s="79" t="s">
        <v>11</v>
      </c>
      <c r="H139" s="79" t="s">
        <v>654</v>
      </c>
      <c r="I139" s="80">
        <f>K139*(1-O139)*(P139+P139/((P139+1)^Q139-1))</f>
        <v>0</v>
      </c>
      <c r="J139" s="72" t="s">
        <v>124</v>
      </c>
      <c r="K139" s="70">
        <f>1.24*M139^0.598*E139</f>
        <v>0</v>
      </c>
      <c r="L139" s="79" t="s">
        <v>120</v>
      </c>
      <c r="M139" s="80">
        <f>+M138</f>
        <v>0</v>
      </c>
      <c r="N139" s="1349"/>
      <c r="O139" s="81">
        <f>+⑤基本情報入力!$Y$63</f>
        <v>0.1</v>
      </c>
      <c r="P139" s="84">
        <f>+⑤基本情報入力!$AB$63</f>
        <v>2.3E-2</v>
      </c>
      <c r="Q139" s="83">
        <f>+⑤基本情報入力!$AE$63</f>
        <v>40</v>
      </c>
      <c r="R139" s="72" t="s">
        <v>244</v>
      </c>
    </row>
    <row r="140" spans="1:18" ht="15.75">
      <c r="B140" s="1417"/>
      <c r="C140" s="1423" t="s">
        <v>22</v>
      </c>
      <c r="D140" s="1347"/>
      <c r="E140" s="357">
        <f>+⑤基本情報入力!AI54</f>
        <v>0</v>
      </c>
      <c r="F140" s="78" t="s">
        <v>3</v>
      </c>
      <c r="G140" s="79" t="s">
        <v>11</v>
      </c>
      <c r="H140" s="79" t="s">
        <v>655</v>
      </c>
      <c r="I140" s="80">
        <f>K140*(1-O140)*(P140+P140/((P140+1)^Q140-1))</f>
        <v>0</v>
      </c>
      <c r="J140" s="72" t="s">
        <v>124</v>
      </c>
      <c r="K140" s="70">
        <f>22.7*M140^0.444*E140</f>
        <v>0</v>
      </c>
      <c r="L140" s="79" t="s">
        <v>120</v>
      </c>
      <c r="M140" s="80">
        <f>IFERROR('計算条件（いしかわモデル）'!H43/E140,0)</f>
        <v>0</v>
      </c>
      <c r="N140" s="1347" t="s">
        <v>243</v>
      </c>
      <c r="O140" s="81">
        <f>+⑤基本情報入力!$Y$61</f>
        <v>0.1</v>
      </c>
      <c r="P140" s="82">
        <f>+⑤基本情報入力!$AB$61</f>
        <v>2.3E-2</v>
      </c>
      <c r="Q140" s="83">
        <f>+⑤基本情報入力!$AE$61</f>
        <v>20</v>
      </c>
      <c r="R140" s="72" t="s">
        <v>244</v>
      </c>
    </row>
    <row r="141" spans="1:18" ht="15.75">
      <c r="B141" s="1417"/>
      <c r="C141" s="1453"/>
      <c r="D141" s="1349"/>
      <c r="E141" s="359">
        <v>0</v>
      </c>
      <c r="F141" s="78" t="s">
        <v>8</v>
      </c>
      <c r="G141" s="79" t="s">
        <v>11</v>
      </c>
      <c r="H141" s="79" t="s">
        <v>656</v>
      </c>
      <c r="I141" s="80">
        <f>K141*(1-O141)*(P141+P141/((P141+1)^Q141-1))</f>
        <v>0</v>
      </c>
      <c r="J141" s="72" t="s">
        <v>124</v>
      </c>
      <c r="K141" s="70">
        <f>43.4*M141^0.373*E141</f>
        <v>0</v>
      </c>
      <c r="L141" s="79" t="s">
        <v>120</v>
      </c>
      <c r="M141" s="80">
        <f>+M140</f>
        <v>0</v>
      </c>
      <c r="N141" s="1349"/>
      <c r="O141" s="81">
        <f>+⑤基本情報入力!$Y$63</f>
        <v>0.1</v>
      </c>
      <c r="P141" s="84">
        <f>+⑤基本情報入力!$AB$63</f>
        <v>2.3E-2</v>
      </c>
      <c r="Q141" s="83">
        <f>+⑤基本情報入力!$AE$63</f>
        <v>40</v>
      </c>
      <c r="R141" s="72" t="s">
        <v>244</v>
      </c>
    </row>
    <row r="142" spans="1:18" ht="16.5" thickBot="1">
      <c r="A142" s="58"/>
      <c r="B142" s="1417"/>
      <c r="C142" s="344" t="s">
        <v>246</v>
      </c>
      <c r="D142" s="88"/>
      <c r="E142" s="116">
        <f>+⑤基本情報入力!AI53</f>
        <v>0</v>
      </c>
      <c r="F142" s="344" t="s">
        <v>4</v>
      </c>
      <c r="G142" s="87" t="s">
        <v>11</v>
      </c>
      <c r="H142" s="88" t="s">
        <v>657</v>
      </c>
      <c r="I142" s="89">
        <f>K142*(1-O142)*(P142+P142/((P142+1)^Q142-1))</f>
        <v>0</v>
      </c>
      <c r="J142" s="88" t="s">
        <v>124</v>
      </c>
      <c r="K142" s="90">
        <f>17.8*M142^0.464*E142</f>
        <v>0</v>
      </c>
      <c r="L142" s="88" t="s">
        <v>120</v>
      </c>
      <c r="M142" s="89">
        <f>IFERROR('計算条件（いしかわモデル）'!H43/E142,0)</f>
        <v>0</v>
      </c>
      <c r="N142" s="343" t="s">
        <v>243</v>
      </c>
      <c r="O142" s="91">
        <f>+⑤基本情報入力!$Y$62</f>
        <v>0.1</v>
      </c>
      <c r="P142" s="92">
        <f>+⑤基本情報入力!$AB$62</f>
        <v>2.3E-2</v>
      </c>
      <c r="Q142" s="93">
        <f>+⑤基本情報入力!$AE$62</f>
        <v>15</v>
      </c>
      <c r="R142" s="88" t="s">
        <v>247</v>
      </c>
    </row>
    <row r="143" spans="1:18" ht="14.25" thickTop="1">
      <c r="A143" s="58"/>
      <c r="B143" s="1418"/>
      <c r="C143" s="1448" t="s">
        <v>259</v>
      </c>
      <c r="D143" s="1449"/>
      <c r="E143" s="1449"/>
      <c r="F143" s="1449"/>
      <c r="G143" s="1449"/>
      <c r="H143" s="1450"/>
      <c r="I143" s="109">
        <f>SUM(I138:I142)</f>
        <v>0</v>
      </c>
      <c r="J143" s="112" t="s">
        <v>124</v>
      </c>
      <c r="K143" s="111">
        <f>SUM(K138,K140,K142)</f>
        <v>0</v>
      </c>
      <c r="L143" s="112" t="s">
        <v>120</v>
      </c>
      <c r="M143" s="113"/>
      <c r="N143" s="336"/>
      <c r="O143" s="99"/>
      <c r="P143" s="100"/>
      <c r="Q143" s="101"/>
      <c r="R143" s="101"/>
    </row>
    <row r="144" spans="1:18">
      <c r="A144" s="58"/>
      <c r="B144" s="335" t="s">
        <v>260</v>
      </c>
      <c r="C144" s="334" t="s">
        <v>231</v>
      </c>
      <c r="D144" s="334" t="s">
        <v>232</v>
      </c>
      <c r="E144" s="334" t="s">
        <v>233</v>
      </c>
      <c r="F144" s="334" t="s">
        <v>273</v>
      </c>
      <c r="G144" s="1451" t="s">
        <v>235</v>
      </c>
      <c r="H144" s="1452"/>
      <c r="I144" s="1451" t="s">
        <v>237</v>
      </c>
      <c r="J144" s="1452"/>
      <c r="K144" s="1454" t="s">
        <v>291</v>
      </c>
      <c r="L144" s="1455"/>
      <c r="M144" s="1451" t="s">
        <v>97</v>
      </c>
      <c r="N144" s="1456"/>
      <c r="O144" s="1456"/>
      <c r="P144" s="1456"/>
      <c r="Q144" s="1456"/>
      <c r="R144" s="1452"/>
    </row>
    <row r="145" spans="1:18" ht="15.75">
      <c r="A145" s="58"/>
      <c r="B145" s="1435"/>
      <c r="C145" s="338" t="s">
        <v>241</v>
      </c>
      <c r="D145" s="339" t="s">
        <v>242</v>
      </c>
      <c r="E145" s="357">
        <f>+⑤基本情報入力!AI53</f>
        <v>0</v>
      </c>
      <c r="F145" s="78" t="s">
        <v>262</v>
      </c>
      <c r="G145" s="79" t="s">
        <v>11</v>
      </c>
      <c r="H145" s="72" t="s">
        <v>658</v>
      </c>
      <c r="I145" s="80">
        <f>0.03*K145^0.628*E145</f>
        <v>0</v>
      </c>
      <c r="J145" s="72" t="s">
        <v>124</v>
      </c>
      <c r="K145" s="80">
        <f>IFERROR('計算条件（いしかわモデル）'!G43/E145,0)</f>
        <v>0</v>
      </c>
      <c r="L145" s="339" t="s">
        <v>243</v>
      </c>
      <c r="M145" s="1217" t="s">
        <v>263</v>
      </c>
      <c r="N145" s="1218"/>
      <c r="O145" s="1218"/>
      <c r="P145" s="1218"/>
      <c r="Q145" s="1218"/>
      <c r="R145" s="1422"/>
    </row>
    <row r="146" spans="1:18" ht="15.75">
      <c r="A146" s="58"/>
      <c r="B146" s="1435"/>
      <c r="C146" s="338" t="s">
        <v>22</v>
      </c>
      <c r="D146" s="339"/>
      <c r="E146" s="357">
        <f>+⑤基本情報入力!AI54</f>
        <v>0</v>
      </c>
      <c r="F146" s="78" t="s">
        <v>308</v>
      </c>
      <c r="G146" s="79" t="s">
        <v>11</v>
      </c>
      <c r="H146" s="72" t="s">
        <v>142</v>
      </c>
      <c r="I146" s="80">
        <f>0.039*K146^0.596*E146</f>
        <v>0</v>
      </c>
      <c r="J146" s="72" t="s">
        <v>124</v>
      </c>
      <c r="K146" s="80">
        <f>IFERROR('計算条件（いしかわモデル）'!G43*365/E146,0)</f>
        <v>0</v>
      </c>
      <c r="L146" s="339" t="s">
        <v>265</v>
      </c>
      <c r="M146" s="1217" t="s">
        <v>266</v>
      </c>
      <c r="N146" s="1218"/>
      <c r="O146" s="1218"/>
      <c r="P146" s="1218"/>
      <c r="Q146" s="1218"/>
      <c r="R146" s="1422"/>
    </row>
    <row r="147" spans="1:18" ht="16.5" thickBot="1">
      <c r="A147" s="58"/>
      <c r="B147" s="1435"/>
      <c r="C147" s="344" t="s">
        <v>246</v>
      </c>
      <c r="D147" s="88"/>
      <c r="E147" s="116">
        <f>+E145</f>
        <v>0</v>
      </c>
      <c r="F147" s="344" t="s">
        <v>267</v>
      </c>
      <c r="G147" s="87" t="s">
        <v>11</v>
      </c>
      <c r="H147" s="88" t="s">
        <v>141</v>
      </c>
      <c r="I147" s="89">
        <f>0.0024*K147^0.533*E147</f>
        <v>0</v>
      </c>
      <c r="J147" s="88" t="s">
        <v>124</v>
      </c>
      <c r="K147" s="89">
        <f>IFERROR('計算条件（いしかわモデル）'!G43*365/E147,0)</f>
        <v>0</v>
      </c>
      <c r="L147" s="343" t="s">
        <v>265</v>
      </c>
      <c r="M147" s="1437" t="s">
        <v>266</v>
      </c>
      <c r="N147" s="1438"/>
      <c r="O147" s="1438"/>
      <c r="P147" s="1438"/>
      <c r="Q147" s="1438"/>
      <c r="R147" s="1439"/>
    </row>
    <row r="148" spans="1:18" ht="14.25" thickTop="1">
      <c r="A148" s="58"/>
      <c r="B148" s="1436"/>
      <c r="C148" s="1448" t="s">
        <v>259</v>
      </c>
      <c r="D148" s="1449"/>
      <c r="E148" s="1449"/>
      <c r="F148" s="1449"/>
      <c r="G148" s="1449"/>
      <c r="H148" s="1450"/>
      <c r="I148" s="109">
        <f>SUM(I145:I147)</f>
        <v>0</v>
      </c>
      <c r="J148" s="117" t="s">
        <v>124</v>
      </c>
      <c r="K148" s="118"/>
      <c r="L148" s="336"/>
      <c r="M148" s="1523"/>
      <c r="N148" s="1523"/>
      <c r="O148" s="1523"/>
      <c r="P148" s="1523"/>
      <c r="Q148" s="1523"/>
      <c r="R148" s="1523"/>
    </row>
    <row r="151" spans="1:18">
      <c r="A151" s="58"/>
      <c r="B151" s="58" t="s">
        <v>307</v>
      </c>
    </row>
    <row r="152" spans="1:18">
      <c r="A152" s="58"/>
      <c r="B152" s="354" t="s">
        <v>230</v>
      </c>
      <c r="C152" s="337" t="s">
        <v>231</v>
      </c>
      <c r="D152" s="337" t="s">
        <v>232</v>
      </c>
      <c r="E152" s="351" t="s">
        <v>233</v>
      </c>
      <c r="F152" s="337" t="s">
        <v>23</v>
      </c>
      <c r="G152" s="1444" t="s">
        <v>235</v>
      </c>
      <c r="H152" s="1445"/>
      <c r="I152" s="1415" t="s">
        <v>236</v>
      </c>
      <c r="J152" s="1415"/>
      <c r="K152" s="1415" t="s">
        <v>237</v>
      </c>
      <c r="L152" s="1415"/>
      <c r="M152" s="1416" t="s">
        <v>291</v>
      </c>
      <c r="N152" s="1416"/>
      <c r="O152" s="77" t="s">
        <v>238</v>
      </c>
      <c r="P152" s="77" t="s">
        <v>239</v>
      </c>
      <c r="Q152" s="77" t="s">
        <v>240</v>
      </c>
      <c r="R152" s="337" t="s">
        <v>97</v>
      </c>
    </row>
    <row r="153" spans="1:18" ht="16.5" thickBot="1">
      <c r="A153" s="58"/>
      <c r="B153" s="1417"/>
      <c r="C153" s="344" t="s">
        <v>96</v>
      </c>
      <c r="D153" s="88"/>
      <c r="E153" s="116">
        <v>1</v>
      </c>
      <c r="F153" s="344" t="s">
        <v>306</v>
      </c>
      <c r="G153" s="87" t="s">
        <v>11</v>
      </c>
      <c r="H153" s="127" t="s">
        <v>659</v>
      </c>
      <c r="I153" s="89">
        <f>K153*(1-O153)*(P153+P153/((P153+1)^Q153-1))</f>
        <v>0</v>
      </c>
      <c r="J153" s="88" t="s">
        <v>124</v>
      </c>
      <c r="K153" s="90">
        <f>IF(M153=0,0,(-0.087*M153^2+59.53*M153+258)*E153)</f>
        <v>0</v>
      </c>
      <c r="L153" s="88" t="s">
        <v>120</v>
      </c>
      <c r="M153" s="89">
        <f>IFERROR('計算条件（いしかわモデル）'!H61/E153,0)</f>
        <v>0</v>
      </c>
      <c r="N153" s="343" t="s">
        <v>0</v>
      </c>
      <c r="O153" s="91">
        <f>+⑤基本情報入力!$Y$62</f>
        <v>0.1</v>
      </c>
      <c r="P153" s="92">
        <f>+⑤基本情報入力!$AB$62</f>
        <v>2.3E-2</v>
      </c>
      <c r="Q153" s="93">
        <f>+⑤基本情報入力!$AE$62</f>
        <v>15</v>
      </c>
      <c r="R153" s="88" t="s">
        <v>304</v>
      </c>
    </row>
    <row r="154" spans="1:18" ht="14.25" thickTop="1">
      <c r="A154" s="58"/>
      <c r="B154" s="1418"/>
      <c r="C154" s="1448" t="s">
        <v>259</v>
      </c>
      <c r="D154" s="1449"/>
      <c r="E154" s="1449"/>
      <c r="F154" s="1449"/>
      <c r="G154" s="1449"/>
      <c r="H154" s="1450"/>
      <c r="I154" s="138">
        <f>SUM(I153:I153)</f>
        <v>0</v>
      </c>
      <c r="J154" s="112" t="s">
        <v>124</v>
      </c>
      <c r="K154" s="111">
        <f>+K153</f>
        <v>0</v>
      </c>
      <c r="L154" s="112" t="s">
        <v>120</v>
      </c>
    </row>
    <row r="156" spans="1:18">
      <c r="A156" s="58"/>
      <c r="B156" s="58" t="s">
        <v>340</v>
      </c>
    </row>
    <row r="157" spans="1:18">
      <c r="A157" s="58"/>
      <c r="B157" s="354" t="s">
        <v>230</v>
      </c>
      <c r="C157" s="337" t="s">
        <v>231</v>
      </c>
      <c r="D157" s="337" t="s">
        <v>232</v>
      </c>
      <c r="E157" s="351" t="s">
        <v>233</v>
      </c>
      <c r="F157" s="337" t="s">
        <v>23</v>
      </c>
      <c r="G157" s="351" t="s">
        <v>235</v>
      </c>
      <c r="H157" s="337" t="s">
        <v>211</v>
      </c>
      <c r="I157" s="1415" t="s">
        <v>236</v>
      </c>
      <c r="J157" s="1415"/>
      <c r="K157" s="1415" t="s">
        <v>237</v>
      </c>
      <c r="L157" s="1415"/>
      <c r="M157" s="1416" t="s">
        <v>291</v>
      </c>
      <c r="N157" s="1416"/>
      <c r="O157" s="77" t="s">
        <v>238</v>
      </c>
      <c r="P157" s="77" t="s">
        <v>239</v>
      </c>
      <c r="Q157" s="77" t="s">
        <v>240</v>
      </c>
      <c r="R157" s="337" t="s">
        <v>97</v>
      </c>
    </row>
    <row r="158" spans="1:18">
      <c r="A158" s="58"/>
      <c r="B158" s="1417"/>
      <c r="C158" s="1459" t="s">
        <v>41</v>
      </c>
      <c r="D158" s="1221"/>
      <c r="E158" s="357">
        <v>0</v>
      </c>
      <c r="F158" s="78" t="s">
        <v>415</v>
      </c>
      <c r="G158" s="1462" t="s">
        <v>271</v>
      </c>
      <c r="H158" s="1464">
        <f>IF(M158&lt;40,44000,IF(AND(M158&gt;=40,M158&lt;=99),33000,IF(M158&gt;=100,28000)))</f>
        <v>44000</v>
      </c>
      <c r="I158" s="80">
        <f>K158*(1-O158)*(P158+P158/((P158+1)^Q158-1))</f>
        <v>0</v>
      </c>
      <c r="J158" s="72" t="s">
        <v>124</v>
      </c>
      <c r="K158" s="70">
        <f>H158*M158/1000*0.75*E158</f>
        <v>0</v>
      </c>
      <c r="L158" s="72" t="s">
        <v>120</v>
      </c>
      <c r="M158" s="80">
        <f>IFERROR(('計算条件（いしかわモデル）'!G46+'計算条件（いしかわモデル）'!G51+'計算条件（いしかわモデル）'!G56)/E158,0)</f>
        <v>0</v>
      </c>
      <c r="N158" s="339" t="s">
        <v>0</v>
      </c>
      <c r="O158" s="81">
        <v>0.1</v>
      </c>
      <c r="P158" s="82">
        <v>2.3E-2</v>
      </c>
      <c r="Q158" s="83">
        <v>20</v>
      </c>
      <c r="R158" s="72" t="s">
        <v>436</v>
      </c>
    </row>
    <row r="159" spans="1:18" ht="14.25" thickBot="1">
      <c r="A159" s="58"/>
      <c r="B159" s="1417"/>
      <c r="C159" s="1460"/>
      <c r="D159" s="1461"/>
      <c r="E159" s="218">
        <v>0</v>
      </c>
      <c r="F159" s="217" t="s">
        <v>8</v>
      </c>
      <c r="G159" s="1463"/>
      <c r="H159" s="1465"/>
      <c r="I159" s="89">
        <f>K159*(1-O159)*(P159+P159/((P159+1)^Q159-1))</f>
        <v>0</v>
      </c>
      <c r="J159" s="88" t="s">
        <v>124</v>
      </c>
      <c r="K159" s="216">
        <f>H158*M159/1000*0.25*E159</f>
        <v>0</v>
      </c>
      <c r="L159" s="88" t="s">
        <v>120</v>
      </c>
      <c r="M159" s="89">
        <f>+M158</f>
        <v>0</v>
      </c>
      <c r="N159" s="343" t="s">
        <v>0</v>
      </c>
      <c r="O159" s="91">
        <v>0.1</v>
      </c>
      <c r="P159" s="92">
        <v>2.3E-2</v>
      </c>
      <c r="Q159" s="93">
        <v>40</v>
      </c>
      <c r="R159" s="88" t="s">
        <v>436</v>
      </c>
    </row>
    <row r="160" spans="1:18" ht="14.25" thickTop="1">
      <c r="A160" s="58"/>
      <c r="B160" s="1418"/>
      <c r="C160" s="1427" t="s">
        <v>259</v>
      </c>
      <c r="D160" s="1428"/>
      <c r="E160" s="1428"/>
      <c r="F160" s="1428"/>
      <c r="G160" s="1428"/>
      <c r="H160" s="1429"/>
      <c r="I160" s="109">
        <f>SUM(I158:I158)</f>
        <v>0</v>
      </c>
      <c r="J160" s="112" t="s">
        <v>124</v>
      </c>
      <c r="K160" s="111">
        <f>+K158</f>
        <v>0</v>
      </c>
      <c r="L160" s="112" t="s">
        <v>120</v>
      </c>
    </row>
    <row r="161" spans="1:18">
      <c r="A161" s="58"/>
      <c r="B161" s="350" t="s">
        <v>260</v>
      </c>
      <c r="C161" s="349" t="s">
        <v>231</v>
      </c>
      <c r="D161" s="350" t="s">
        <v>232</v>
      </c>
      <c r="E161" s="348" t="s">
        <v>233</v>
      </c>
      <c r="F161" s="350" t="s">
        <v>273</v>
      </c>
      <c r="G161" s="1469" t="s">
        <v>235</v>
      </c>
      <c r="H161" s="1470"/>
      <c r="I161" s="1471" t="s">
        <v>237</v>
      </c>
      <c r="J161" s="1471"/>
      <c r="K161" s="1472" t="s">
        <v>291</v>
      </c>
      <c r="L161" s="1472"/>
      <c r="M161" s="1432" t="s">
        <v>97</v>
      </c>
      <c r="N161" s="1432"/>
      <c r="O161" s="1432"/>
      <c r="P161" s="1432"/>
      <c r="Q161" s="1432"/>
      <c r="R161" s="1432"/>
    </row>
    <row r="162" spans="1:18" ht="14.25" thickBot="1">
      <c r="A162" s="58"/>
      <c r="B162" s="1435"/>
      <c r="C162" s="344" t="s">
        <v>41</v>
      </c>
      <c r="D162" s="343"/>
      <c r="E162" s="116">
        <v>0</v>
      </c>
      <c r="F162" s="214" t="s">
        <v>437</v>
      </c>
      <c r="G162" s="219" t="s">
        <v>271</v>
      </c>
      <c r="H162" s="215">
        <v>7800</v>
      </c>
      <c r="I162" s="89">
        <f>H162*K162/1000000*E162</f>
        <v>0</v>
      </c>
      <c r="J162" s="88" t="s">
        <v>124</v>
      </c>
      <c r="K162" s="89">
        <f>IFERROR(('計算条件（いしかわモデル）'!G46+'計算条件（いしかわモデル）'!G51+'計算条件（いしかわモデル）'!G56)*365/E158,0)</f>
        <v>0</v>
      </c>
      <c r="L162" s="343" t="s">
        <v>122</v>
      </c>
      <c r="M162" s="1437" t="s">
        <v>438</v>
      </c>
      <c r="N162" s="1438"/>
      <c r="O162" s="1438"/>
      <c r="P162" s="1438"/>
      <c r="Q162" s="1438"/>
      <c r="R162" s="1439"/>
    </row>
    <row r="163" spans="1:18" ht="14.25" thickTop="1">
      <c r="A163" s="58"/>
      <c r="B163" s="1436"/>
      <c r="C163" s="1427" t="s">
        <v>259</v>
      </c>
      <c r="D163" s="1428"/>
      <c r="E163" s="1428"/>
      <c r="F163" s="1428"/>
      <c r="G163" s="1428"/>
      <c r="H163" s="1429"/>
      <c r="I163" s="109">
        <f>SUM(I162:I162)</f>
        <v>0</v>
      </c>
      <c r="J163" s="112" t="s">
        <v>124</v>
      </c>
    </row>
    <row r="164" spans="1:18">
      <c r="A164" s="58"/>
    </row>
    <row r="165" spans="1:18">
      <c r="A165" s="58"/>
    </row>
    <row r="166" spans="1:18">
      <c r="A166" s="58"/>
    </row>
    <row r="167" spans="1:18">
      <c r="A167" s="58"/>
      <c r="B167" s="58" t="s">
        <v>274</v>
      </c>
    </row>
    <row r="168" spans="1:18">
      <c r="A168" s="58"/>
      <c r="B168" s="128" t="s">
        <v>130</v>
      </c>
      <c r="C168" s="342" t="s">
        <v>275</v>
      </c>
      <c r="D168" s="1466" t="s">
        <v>303</v>
      </c>
      <c r="E168" s="1466"/>
      <c r="F168" s="342" t="s">
        <v>23</v>
      </c>
      <c r="G168" s="1466" t="s">
        <v>276</v>
      </c>
      <c r="H168" s="1466"/>
      <c r="I168" s="1467" t="s">
        <v>277</v>
      </c>
      <c r="J168" s="1467"/>
      <c r="K168" s="1468" t="s">
        <v>291</v>
      </c>
      <c r="L168" s="1468"/>
      <c r="M168" s="1467" t="s">
        <v>278</v>
      </c>
      <c r="N168" s="1467"/>
      <c r="O168" s="1466" t="s">
        <v>97</v>
      </c>
      <c r="P168" s="1466"/>
      <c r="Q168" s="1466"/>
      <c r="R168" s="1466"/>
    </row>
    <row r="169" spans="1:18">
      <c r="A169" s="58"/>
      <c r="B169" s="1477"/>
      <c r="C169" s="149">
        <f>+⑤基本情報入力!L12</f>
        <v>0</v>
      </c>
      <c r="D169" s="1479" t="str">
        <f>+⑤基本情報入力!Q13</f>
        <v>脱水汚泥</v>
      </c>
      <c r="E169" s="1480"/>
      <c r="F169" s="72" t="s">
        <v>207</v>
      </c>
      <c r="G169" s="1222" t="s">
        <v>271</v>
      </c>
      <c r="H169" s="1224"/>
      <c r="I169" s="129">
        <f>IFERROR(ROUND(M169*K169/10^6,1),"")</f>
        <v>0</v>
      </c>
      <c r="J169" s="72" t="s">
        <v>124</v>
      </c>
      <c r="K169" s="103">
        <f>+⑤基本情報入力!Q21</f>
        <v>0</v>
      </c>
      <c r="L169" s="72" t="s">
        <v>125</v>
      </c>
      <c r="M169" s="69">
        <v>0</v>
      </c>
      <c r="N169" s="338" t="s">
        <v>126</v>
      </c>
      <c r="O169" s="1474" t="s">
        <v>341</v>
      </c>
      <c r="P169" s="1475"/>
      <c r="Q169" s="1475"/>
      <c r="R169" s="1476"/>
    </row>
    <row r="170" spans="1:18">
      <c r="A170" s="58"/>
      <c r="B170" s="1477"/>
      <c r="C170" s="149">
        <f>+⑤基本情報入力!V12</f>
        <v>0</v>
      </c>
      <c r="D170" s="1479">
        <f>+⑤基本情報入力!V13</f>
        <v>0</v>
      </c>
      <c r="E170" s="1480"/>
      <c r="F170" s="72" t="s">
        <v>207</v>
      </c>
      <c r="G170" s="1222" t="s">
        <v>271</v>
      </c>
      <c r="H170" s="1224"/>
      <c r="I170" s="129">
        <f t="shared" ref="I170:I185" si="3">IFERROR(ROUND(M170*K170/10^6,1),"")</f>
        <v>0</v>
      </c>
      <c r="J170" s="72" t="s">
        <v>124</v>
      </c>
      <c r="K170" s="103">
        <f>+⑤基本情報入力!V21</f>
        <v>0</v>
      </c>
      <c r="L170" s="72" t="s">
        <v>125</v>
      </c>
      <c r="M170" s="69">
        <f>IFERROR(⑤基本情報入力!V22*1000,"")</f>
        <v>0</v>
      </c>
      <c r="N170" s="338" t="s">
        <v>126</v>
      </c>
      <c r="O170" s="1474"/>
      <c r="P170" s="1475"/>
      <c r="Q170" s="1475"/>
      <c r="R170" s="1476"/>
    </row>
    <row r="171" spans="1:18">
      <c r="A171" s="58"/>
      <c r="B171" s="1477"/>
      <c r="C171" s="149">
        <f>+⑤基本情報入力!AA12</f>
        <v>0</v>
      </c>
      <c r="D171" s="1479">
        <f>+⑤基本情報入力!AA13</f>
        <v>0</v>
      </c>
      <c r="E171" s="1480"/>
      <c r="F171" s="72" t="s">
        <v>207</v>
      </c>
      <c r="G171" s="1222" t="s">
        <v>271</v>
      </c>
      <c r="H171" s="1224"/>
      <c r="I171" s="129">
        <f t="shared" si="3"/>
        <v>0</v>
      </c>
      <c r="J171" s="72" t="s">
        <v>124</v>
      </c>
      <c r="K171" s="103">
        <f>+⑤基本情報入力!AA21</f>
        <v>0</v>
      </c>
      <c r="L171" s="72" t="s">
        <v>125</v>
      </c>
      <c r="M171" s="69">
        <f>IFERROR(⑤基本情報入力!AA22*1000,"")</f>
        <v>0</v>
      </c>
      <c r="N171" s="338" t="s">
        <v>126</v>
      </c>
      <c r="O171" s="1474"/>
      <c r="P171" s="1475"/>
      <c r="Q171" s="1475"/>
      <c r="R171" s="1476"/>
    </row>
    <row r="172" spans="1:18">
      <c r="A172" s="58"/>
      <c r="B172" s="1477"/>
      <c r="C172" s="149">
        <f>+⑤基本情報入力!AF12</f>
        <v>0</v>
      </c>
      <c r="D172" s="1479">
        <f>+⑤基本情報入力!AF13</f>
        <v>0</v>
      </c>
      <c r="E172" s="1480"/>
      <c r="F172" s="72" t="s">
        <v>207</v>
      </c>
      <c r="G172" s="1222" t="s">
        <v>271</v>
      </c>
      <c r="H172" s="1224"/>
      <c r="I172" s="129">
        <f t="shared" si="3"/>
        <v>0</v>
      </c>
      <c r="J172" s="72" t="s">
        <v>124</v>
      </c>
      <c r="K172" s="103">
        <f>+⑤基本情報入力!AF21</f>
        <v>0</v>
      </c>
      <c r="L172" s="72" t="s">
        <v>125</v>
      </c>
      <c r="M172" s="69">
        <f>IFERROR(⑤基本情報入力!AF22*1000,"")</f>
        <v>0</v>
      </c>
      <c r="N172" s="338" t="s">
        <v>126</v>
      </c>
      <c r="O172" s="1474"/>
      <c r="P172" s="1475"/>
      <c r="Q172" s="1475"/>
      <c r="R172" s="1476"/>
    </row>
    <row r="173" spans="1:18">
      <c r="A173" s="58"/>
      <c r="B173" s="1477"/>
      <c r="C173" s="149">
        <f>+⑤基本情報入力!AK12</f>
        <v>0</v>
      </c>
      <c r="D173" s="1479">
        <f>+⑤基本情報入力!AK13</f>
        <v>0</v>
      </c>
      <c r="E173" s="1480"/>
      <c r="F173" s="72" t="s">
        <v>207</v>
      </c>
      <c r="G173" s="1222" t="s">
        <v>271</v>
      </c>
      <c r="H173" s="1224"/>
      <c r="I173" s="129">
        <f t="shared" si="3"/>
        <v>0</v>
      </c>
      <c r="J173" s="72" t="s">
        <v>124</v>
      </c>
      <c r="K173" s="103">
        <f>+⑤基本情報入力!AK21</f>
        <v>0</v>
      </c>
      <c r="L173" s="72" t="s">
        <v>125</v>
      </c>
      <c r="M173" s="69">
        <f>IFERROR(⑤基本情報入力!AK22*1000,"")</f>
        <v>0</v>
      </c>
      <c r="N173" s="338" t="s">
        <v>126</v>
      </c>
      <c r="O173" s="1474"/>
      <c r="P173" s="1475"/>
      <c r="Q173" s="1475"/>
      <c r="R173" s="1476"/>
    </row>
    <row r="174" spans="1:18">
      <c r="A174" s="58"/>
      <c r="B174" s="1477"/>
      <c r="C174" s="149">
        <f>+⑤基本情報入力!AP12</f>
        <v>0</v>
      </c>
      <c r="D174" s="1479">
        <f>+⑤基本情報入力!AP13</f>
        <v>0</v>
      </c>
      <c r="E174" s="1480"/>
      <c r="F174" s="72" t="s">
        <v>207</v>
      </c>
      <c r="G174" s="1222" t="s">
        <v>271</v>
      </c>
      <c r="H174" s="1224"/>
      <c r="I174" s="129">
        <f t="shared" si="3"/>
        <v>0</v>
      </c>
      <c r="J174" s="72" t="s">
        <v>124</v>
      </c>
      <c r="K174" s="103">
        <f>+⑤基本情報入力!AP21</f>
        <v>0</v>
      </c>
      <c r="L174" s="72" t="s">
        <v>125</v>
      </c>
      <c r="M174" s="69">
        <f>IFERROR(⑤基本情報入力!AP22*1000,"")</f>
        <v>0</v>
      </c>
      <c r="N174" s="338" t="s">
        <v>126</v>
      </c>
      <c r="O174" s="1474"/>
      <c r="P174" s="1475"/>
      <c r="Q174" s="1475"/>
      <c r="R174" s="1476"/>
    </row>
    <row r="175" spans="1:18">
      <c r="A175" s="58"/>
      <c r="B175" s="1477"/>
      <c r="C175" s="149">
        <f>+⑤基本情報入力!AU12</f>
        <v>0</v>
      </c>
      <c r="D175" s="1479">
        <f>+⑤基本情報入力!AU13</f>
        <v>0</v>
      </c>
      <c r="E175" s="1480"/>
      <c r="F175" s="72" t="s">
        <v>207</v>
      </c>
      <c r="G175" s="1222" t="s">
        <v>271</v>
      </c>
      <c r="H175" s="1224"/>
      <c r="I175" s="129">
        <f t="shared" si="3"/>
        <v>0</v>
      </c>
      <c r="J175" s="72" t="s">
        <v>124</v>
      </c>
      <c r="K175" s="103">
        <f>+⑤基本情報入力!AU21</f>
        <v>0</v>
      </c>
      <c r="L175" s="72" t="s">
        <v>125</v>
      </c>
      <c r="M175" s="69">
        <f>+IFERROR(⑤基本情報入力!AU22*1000,"")</f>
        <v>0</v>
      </c>
      <c r="N175" s="338" t="s">
        <v>126</v>
      </c>
      <c r="O175" s="1474"/>
      <c r="P175" s="1475"/>
      <c r="Q175" s="1475"/>
      <c r="R175" s="1476"/>
    </row>
    <row r="176" spans="1:18">
      <c r="A176" s="58"/>
      <c r="B176" s="1477"/>
      <c r="C176" s="149">
        <f>+⑤基本情報入力!L29</f>
        <v>0</v>
      </c>
      <c r="D176" s="1479" t="str">
        <f>+⑤基本情報入力!L30</f>
        <v>し尿</v>
      </c>
      <c r="E176" s="1480"/>
      <c r="F176" s="72" t="s">
        <v>207</v>
      </c>
      <c r="G176" s="1222" t="s">
        <v>271</v>
      </c>
      <c r="H176" s="1224"/>
      <c r="I176" s="129">
        <f t="shared" si="3"/>
        <v>0</v>
      </c>
      <c r="J176" s="72" t="s">
        <v>124</v>
      </c>
      <c r="K176" s="103">
        <f>+⑤基本情報入力!L38</f>
        <v>0</v>
      </c>
      <c r="L176" s="72" t="s">
        <v>122</v>
      </c>
      <c r="M176" s="69">
        <f>+IFERROR(⑤基本情報入力!L39*1000,"")</f>
        <v>0</v>
      </c>
      <c r="N176" s="338" t="s">
        <v>126</v>
      </c>
      <c r="O176" s="1474"/>
      <c r="P176" s="1475"/>
      <c r="Q176" s="1475"/>
      <c r="R176" s="1476"/>
    </row>
    <row r="177" spans="1:18">
      <c r="A177" s="58"/>
      <c r="B177" s="1477"/>
      <c r="C177" s="150">
        <f>+⑤基本情報入力!Q29</f>
        <v>0</v>
      </c>
      <c r="D177" s="1473" t="str">
        <f>+⑤基本情報入力!Q30</f>
        <v>浄化槽汚泥</v>
      </c>
      <c r="E177" s="1473"/>
      <c r="F177" s="72" t="s">
        <v>207</v>
      </c>
      <c r="G177" s="1221" t="s">
        <v>271</v>
      </c>
      <c r="H177" s="1221"/>
      <c r="I177" s="129">
        <f t="shared" si="3"/>
        <v>0</v>
      </c>
      <c r="J177" s="72" t="s">
        <v>124</v>
      </c>
      <c r="K177" s="103">
        <f>+⑤基本情報入力!Q38</f>
        <v>0</v>
      </c>
      <c r="L177" s="72" t="s">
        <v>122</v>
      </c>
      <c r="M177" s="69">
        <f>+IFERROR(⑤基本情報入力!L39*1000,"")</f>
        <v>0</v>
      </c>
      <c r="N177" s="338" t="s">
        <v>126</v>
      </c>
      <c r="O177" s="1474"/>
      <c r="P177" s="1475"/>
      <c r="Q177" s="1475"/>
      <c r="R177" s="1476"/>
    </row>
    <row r="178" spans="1:18">
      <c r="A178" s="58"/>
      <c r="B178" s="1477"/>
      <c r="C178" s="150">
        <f>+⑤基本情報入力!V29</f>
        <v>0</v>
      </c>
      <c r="D178" s="1473" t="str">
        <f>+⑤基本情報入力!V30</f>
        <v>集落排水汚泥</v>
      </c>
      <c r="E178" s="1473"/>
      <c r="F178" s="72" t="s">
        <v>207</v>
      </c>
      <c r="G178" s="1221" t="s">
        <v>271</v>
      </c>
      <c r="H178" s="1221"/>
      <c r="I178" s="129">
        <f t="shared" si="3"/>
        <v>0</v>
      </c>
      <c r="J178" s="72" t="s">
        <v>124</v>
      </c>
      <c r="K178" s="103">
        <f>+⑤基本情報入力!V38</f>
        <v>0</v>
      </c>
      <c r="L178" s="72" t="s">
        <v>125</v>
      </c>
      <c r="M178" s="69">
        <f>+IFERROR(⑤基本情報入力!V39*1000,"")</f>
        <v>0</v>
      </c>
      <c r="N178" s="338" t="s">
        <v>126</v>
      </c>
      <c r="O178" s="1474"/>
      <c r="P178" s="1475"/>
      <c r="Q178" s="1475"/>
      <c r="R178" s="1476"/>
    </row>
    <row r="179" spans="1:18">
      <c r="A179" s="58"/>
      <c r="B179" s="1477"/>
      <c r="C179" s="150">
        <f>+⑤基本情報入力!AA29</f>
        <v>0</v>
      </c>
      <c r="D179" s="1473" t="str">
        <f>+⑤基本情報入力!AA30</f>
        <v>生ごみ</v>
      </c>
      <c r="E179" s="1473"/>
      <c r="F179" s="72" t="s">
        <v>207</v>
      </c>
      <c r="G179" s="1221" t="s">
        <v>271</v>
      </c>
      <c r="H179" s="1221"/>
      <c r="I179" s="129">
        <f t="shared" si="3"/>
        <v>0</v>
      </c>
      <c r="J179" s="72" t="s">
        <v>124</v>
      </c>
      <c r="K179" s="103">
        <f>+⑤基本情報入力!AA38</f>
        <v>0</v>
      </c>
      <c r="L179" s="72" t="s">
        <v>125</v>
      </c>
      <c r="M179" s="69">
        <f>+IFERROR(⑤基本情報入力!AA39*1000,"")</f>
        <v>0</v>
      </c>
      <c r="N179" s="338" t="s">
        <v>126</v>
      </c>
      <c r="O179" s="1474"/>
      <c r="P179" s="1475"/>
      <c r="Q179" s="1475"/>
      <c r="R179" s="1476"/>
    </row>
    <row r="180" spans="1:18">
      <c r="A180" s="58"/>
      <c r="B180" s="1477"/>
      <c r="C180" s="150">
        <f>+⑤基本情報入力!AF29</f>
        <v>0</v>
      </c>
      <c r="D180" s="1473">
        <f>+⑤基本情報入力!AF30</f>
        <v>0</v>
      </c>
      <c r="E180" s="1473"/>
      <c r="F180" s="72" t="s">
        <v>207</v>
      </c>
      <c r="G180" s="1221" t="s">
        <v>271</v>
      </c>
      <c r="H180" s="1221"/>
      <c r="I180" s="129">
        <f t="shared" si="3"/>
        <v>0</v>
      </c>
      <c r="J180" s="72" t="s">
        <v>124</v>
      </c>
      <c r="K180" s="103">
        <f>+⑤基本情報入力!AF38</f>
        <v>0</v>
      </c>
      <c r="L180" s="72" t="s">
        <v>125</v>
      </c>
      <c r="M180" s="69">
        <f>+IFERROR(⑤基本情報入力!AF39*1000,"")</f>
        <v>0</v>
      </c>
      <c r="N180" s="338" t="s">
        <v>126</v>
      </c>
      <c r="O180" s="1524"/>
      <c r="P180" s="1525"/>
      <c r="Q180" s="1525"/>
      <c r="R180" s="1526"/>
    </row>
    <row r="181" spans="1:18">
      <c r="A181" s="58"/>
      <c r="B181" s="1477"/>
      <c r="C181" s="150">
        <f>+⑤基本情報入力!AK29</f>
        <v>0</v>
      </c>
      <c r="D181" s="1473">
        <f>+⑤基本情報入力!AK30</f>
        <v>0</v>
      </c>
      <c r="E181" s="1473"/>
      <c r="F181" s="72" t="s">
        <v>207</v>
      </c>
      <c r="G181" s="1221" t="s">
        <v>271</v>
      </c>
      <c r="H181" s="1221"/>
      <c r="I181" s="129">
        <f t="shared" si="3"/>
        <v>0</v>
      </c>
      <c r="J181" s="72" t="s">
        <v>124</v>
      </c>
      <c r="K181" s="103">
        <f>+⑤基本情報入力!AK38</f>
        <v>0</v>
      </c>
      <c r="L181" s="72" t="s">
        <v>125</v>
      </c>
      <c r="M181" s="69">
        <f>+IFERROR(⑤基本情報入力!AK39*1000,"")</f>
        <v>0</v>
      </c>
      <c r="N181" s="338" t="s">
        <v>126</v>
      </c>
      <c r="O181" s="1524"/>
      <c r="P181" s="1525"/>
      <c r="Q181" s="1525"/>
      <c r="R181" s="1526"/>
    </row>
    <row r="182" spans="1:18">
      <c r="A182" s="58"/>
      <c r="B182" s="1477"/>
      <c r="C182" s="150">
        <f>+⑤基本情報入力!AP29</f>
        <v>0</v>
      </c>
      <c r="D182" s="1473">
        <f>+⑤基本情報入力!AP30</f>
        <v>0</v>
      </c>
      <c r="E182" s="1473"/>
      <c r="F182" s="72" t="s">
        <v>207</v>
      </c>
      <c r="G182" s="1221" t="s">
        <v>271</v>
      </c>
      <c r="H182" s="1221"/>
      <c r="I182" s="129">
        <f t="shared" si="3"/>
        <v>0</v>
      </c>
      <c r="J182" s="72" t="s">
        <v>124</v>
      </c>
      <c r="K182" s="103">
        <f>+⑤基本情報入力!AP38</f>
        <v>0</v>
      </c>
      <c r="L182" s="72" t="s">
        <v>125</v>
      </c>
      <c r="M182" s="69">
        <f>+IFERROR(⑤基本情報入力!AP39*1000,"")</f>
        <v>0</v>
      </c>
      <c r="N182" s="338" t="s">
        <v>126</v>
      </c>
      <c r="O182" s="1524"/>
      <c r="P182" s="1525"/>
      <c r="Q182" s="1525"/>
      <c r="R182" s="1526"/>
    </row>
    <row r="183" spans="1:18">
      <c r="A183" s="58"/>
      <c r="B183" s="1477"/>
      <c r="C183" s="151">
        <f>+⑤基本情報入力!AU29</f>
        <v>0</v>
      </c>
      <c r="D183" s="1473">
        <f>+⑤基本情報入力!AU30</f>
        <v>0</v>
      </c>
      <c r="E183" s="1473"/>
      <c r="F183" s="72" t="s">
        <v>207</v>
      </c>
      <c r="G183" s="1221" t="s">
        <v>271</v>
      </c>
      <c r="H183" s="1221"/>
      <c r="I183" s="129">
        <f t="shared" si="3"/>
        <v>0</v>
      </c>
      <c r="J183" s="72" t="s">
        <v>124</v>
      </c>
      <c r="K183" s="103">
        <f>+⑤基本情報入力!AU38</f>
        <v>0</v>
      </c>
      <c r="L183" s="72" t="s">
        <v>125</v>
      </c>
      <c r="M183" s="69">
        <f>+IFERROR(⑤基本情報入力!AU39*1000,"")</f>
        <v>0</v>
      </c>
      <c r="N183" s="338" t="s">
        <v>280</v>
      </c>
      <c r="O183" s="1474"/>
      <c r="P183" s="1475"/>
      <c r="Q183" s="1475"/>
      <c r="R183" s="1476"/>
    </row>
    <row r="184" spans="1:18">
      <c r="A184" s="58"/>
      <c r="B184" s="1477"/>
      <c r="C184" s="151"/>
      <c r="D184" s="1473"/>
      <c r="E184" s="1473"/>
      <c r="F184" s="72" t="s">
        <v>207</v>
      </c>
      <c r="G184" s="1221" t="s">
        <v>271</v>
      </c>
      <c r="H184" s="1221"/>
      <c r="I184" s="129">
        <f t="shared" si="3"/>
        <v>0</v>
      </c>
      <c r="J184" s="72" t="s">
        <v>124</v>
      </c>
      <c r="K184" s="103"/>
      <c r="L184" s="72" t="s">
        <v>125</v>
      </c>
      <c r="M184" s="69"/>
      <c r="N184" s="338" t="s">
        <v>126</v>
      </c>
      <c r="O184" s="1474"/>
      <c r="P184" s="1475"/>
      <c r="Q184" s="1475"/>
      <c r="R184" s="1476"/>
    </row>
    <row r="185" spans="1:18" ht="14.25" thickBot="1">
      <c r="A185" s="58"/>
      <c r="B185" s="1477"/>
      <c r="C185" s="321"/>
      <c r="D185" s="1481"/>
      <c r="E185" s="1481"/>
      <c r="F185" s="88" t="s">
        <v>207</v>
      </c>
      <c r="G185" s="1461" t="s">
        <v>271</v>
      </c>
      <c r="H185" s="1461"/>
      <c r="I185" s="322">
        <f t="shared" si="3"/>
        <v>0</v>
      </c>
      <c r="J185" s="88" t="s">
        <v>124</v>
      </c>
      <c r="K185" s="130"/>
      <c r="L185" s="88" t="s">
        <v>125</v>
      </c>
      <c r="M185" s="90"/>
      <c r="N185" s="344" t="s">
        <v>126</v>
      </c>
      <c r="O185" s="1482"/>
      <c r="P185" s="1483"/>
      <c r="Q185" s="1483"/>
      <c r="R185" s="1484"/>
    </row>
    <row r="186" spans="1:18" ht="14.25" thickTop="1">
      <c r="A186" s="58"/>
      <c r="B186" s="1478"/>
      <c r="C186" s="1427" t="s">
        <v>259</v>
      </c>
      <c r="D186" s="1428"/>
      <c r="E186" s="1428"/>
      <c r="F186" s="1428"/>
      <c r="G186" s="1428"/>
      <c r="H186" s="1429"/>
      <c r="I186" s="137">
        <f>SUM(I169:I185)</f>
        <v>0</v>
      </c>
      <c r="J186" s="112" t="s">
        <v>124</v>
      </c>
      <c r="M186" s="58" t="s">
        <v>195</v>
      </c>
    </row>
    <row r="187" spans="1:18">
      <c r="A187" s="58"/>
    </row>
    <row r="188" spans="1:18">
      <c r="A188" s="58"/>
      <c r="B188" s="58" t="s">
        <v>335</v>
      </c>
    </row>
    <row r="189" spans="1:18">
      <c r="A189" s="58"/>
      <c r="B189" s="128" t="s">
        <v>131</v>
      </c>
      <c r="C189" s="342" t="s">
        <v>275</v>
      </c>
      <c r="D189" s="1466" t="s">
        <v>302</v>
      </c>
      <c r="E189" s="1466"/>
      <c r="F189" s="342" t="s">
        <v>23</v>
      </c>
      <c r="G189" s="1466" t="s">
        <v>276</v>
      </c>
      <c r="H189" s="1466"/>
      <c r="I189" s="1467" t="s">
        <v>277</v>
      </c>
      <c r="J189" s="1467"/>
      <c r="K189" s="1468" t="s">
        <v>291</v>
      </c>
      <c r="L189" s="1468"/>
      <c r="M189" s="1467" t="s">
        <v>278</v>
      </c>
      <c r="N189" s="1467"/>
      <c r="O189" s="1466" t="s">
        <v>97</v>
      </c>
      <c r="P189" s="1466"/>
      <c r="Q189" s="1466"/>
      <c r="R189" s="1466"/>
    </row>
    <row r="190" spans="1:18" ht="14.25" thickBot="1">
      <c r="A190" s="58"/>
      <c r="B190" s="131"/>
      <c r="C190" s="88">
        <f>⑤基本情報入力!L12</f>
        <v>0</v>
      </c>
      <c r="D190" s="1461" t="s">
        <v>279</v>
      </c>
      <c r="E190" s="1461"/>
      <c r="F190" s="88" t="s">
        <v>281</v>
      </c>
      <c r="G190" s="1461" t="s">
        <v>271</v>
      </c>
      <c r="H190" s="1461"/>
      <c r="I190" s="88">
        <f>ROUND(K190*M190/10^6,1)</f>
        <v>0</v>
      </c>
      <c r="J190" s="88" t="s">
        <v>124</v>
      </c>
      <c r="K190" s="90">
        <f>'物質収支（いしかわモデル）'!X41*365</f>
        <v>0</v>
      </c>
      <c r="L190" s="88" t="s">
        <v>125</v>
      </c>
      <c r="M190" s="130">
        <f>IF(⑤基本情報入力!E94="〇",0,⑤基本情報入力!Q23*1000)</f>
        <v>0</v>
      </c>
      <c r="N190" s="88" t="s">
        <v>126</v>
      </c>
      <c r="O190" s="1430" t="s">
        <v>707</v>
      </c>
      <c r="P190" s="1430"/>
      <c r="Q190" s="1430"/>
      <c r="R190" s="1430"/>
    </row>
    <row r="191" spans="1:18" ht="14.25" thickTop="1">
      <c r="A191" s="58"/>
      <c r="B191" s="132"/>
      <c r="C191" s="1427" t="s">
        <v>259</v>
      </c>
      <c r="D191" s="1428"/>
      <c r="E191" s="1428"/>
      <c r="F191" s="1428"/>
      <c r="G191" s="1428"/>
      <c r="H191" s="1429"/>
      <c r="I191" s="112">
        <f>SUM(I190:I190)</f>
        <v>0</v>
      </c>
      <c r="J191" s="112" t="s">
        <v>124</v>
      </c>
    </row>
    <row r="192" spans="1:18">
      <c r="A192" s="58"/>
    </row>
    <row r="193" spans="1:36">
      <c r="A193" s="58"/>
    </row>
    <row r="194" spans="1:36">
      <c r="A194" s="58"/>
      <c r="B194" s="58" t="s">
        <v>714</v>
      </c>
    </row>
    <row r="195" spans="1:36">
      <c r="A195" s="58"/>
      <c r="B195" s="128" t="s">
        <v>131</v>
      </c>
      <c r="C195" s="523" t="s">
        <v>275</v>
      </c>
      <c r="D195" s="1466" t="s">
        <v>715</v>
      </c>
      <c r="E195" s="1466"/>
      <c r="F195" s="523" t="s">
        <v>23</v>
      </c>
      <c r="G195" s="1466" t="s">
        <v>276</v>
      </c>
      <c r="H195" s="1466"/>
      <c r="I195" s="1467" t="s">
        <v>277</v>
      </c>
      <c r="J195" s="1467"/>
      <c r="K195" s="1468" t="s">
        <v>291</v>
      </c>
      <c r="L195" s="1468"/>
      <c r="M195" s="1467" t="s">
        <v>278</v>
      </c>
      <c r="N195" s="1467"/>
      <c r="O195" s="1466" t="s">
        <v>97</v>
      </c>
      <c r="P195" s="1466"/>
      <c r="Q195" s="1466"/>
      <c r="R195" s="1466"/>
    </row>
    <row r="196" spans="1:36" ht="14.25" thickBot="1">
      <c r="A196" s="58"/>
      <c r="B196" s="131"/>
      <c r="C196" s="88" t="str">
        <f>+C191</f>
        <v>小計</v>
      </c>
      <c r="D196" s="1461" t="s">
        <v>716</v>
      </c>
      <c r="E196" s="1461"/>
      <c r="F196" s="127" t="s">
        <v>717</v>
      </c>
      <c r="G196" s="1461" t="s">
        <v>271</v>
      </c>
      <c r="H196" s="1461"/>
      <c r="I196" s="88">
        <f>ROUND(K196*M196/10^6,1)</f>
        <v>0</v>
      </c>
      <c r="J196" s="88" t="s">
        <v>124</v>
      </c>
      <c r="K196" s="90">
        <f>+IF(⑤基本情報入力!E93="〇",'物質収支（いしかわモデル）'!X37*365,0)</f>
        <v>0</v>
      </c>
      <c r="L196" s="88" t="s">
        <v>718</v>
      </c>
      <c r="M196" s="130">
        <f>+⑤基本情報入力!H61</f>
        <v>12</v>
      </c>
      <c r="N196" s="88" t="s">
        <v>719</v>
      </c>
      <c r="O196" s="1430"/>
      <c r="P196" s="1430"/>
      <c r="Q196" s="1430"/>
      <c r="R196" s="1430"/>
    </row>
    <row r="197" spans="1:36" ht="14.25" thickTop="1">
      <c r="A197" s="58"/>
      <c r="B197" s="132"/>
      <c r="C197" s="1427" t="s">
        <v>259</v>
      </c>
      <c r="D197" s="1428"/>
      <c r="E197" s="1428"/>
      <c r="F197" s="1428"/>
      <c r="G197" s="1428"/>
      <c r="H197" s="1429"/>
      <c r="I197" s="112">
        <f>SUM(I196:I196)</f>
        <v>0</v>
      </c>
      <c r="J197" s="112" t="s">
        <v>124</v>
      </c>
    </row>
    <row r="198" spans="1:36">
      <c r="A198" s="58"/>
    </row>
    <row r="200" spans="1:36">
      <c r="B200" s="58" t="s">
        <v>282</v>
      </c>
      <c r="J200" s="73"/>
      <c r="K200" s="133"/>
      <c r="L200" s="73"/>
      <c r="M200" s="73"/>
    </row>
    <row r="201" spans="1:36">
      <c r="B201" s="1488" t="s">
        <v>23</v>
      </c>
      <c r="C201" s="1488"/>
      <c r="D201" s="345" t="s">
        <v>24</v>
      </c>
      <c r="E201" s="345" t="s">
        <v>237</v>
      </c>
      <c r="F201" s="255" t="s">
        <v>283</v>
      </c>
      <c r="G201" s="379" t="s">
        <v>40</v>
      </c>
      <c r="H201" s="379" t="s">
        <v>98</v>
      </c>
      <c r="I201" s="1489" t="s">
        <v>342</v>
      </c>
      <c r="J201" s="1490"/>
      <c r="K201" s="133"/>
      <c r="L201" s="73"/>
      <c r="M201" s="73"/>
    </row>
    <row r="202" spans="1:36">
      <c r="B202" s="1419" t="s">
        <v>284</v>
      </c>
      <c r="C202" s="1419"/>
      <c r="D202" s="339" t="s">
        <v>7</v>
      </c>
      <c r="E202" s="156">
        <f>K37+K70+K85+K100+K115+K129+K143</f>
        <v>0</v>
      </c>
      <c r="F202" s="152">
        <f>K37+K70+K85+K100+K115+K129+K143</f>
        <v>0</v>
      </c>
      <c r="G202" s="153">
        <f>+K160</f>
        <v>0</v>
      </c>
      <c r="H202" s="153">
        <f>-K154</f>
        <v>0</v>
      </c>
      <c r="I202" s="1527"/>
      <c r="J202" s="1528"/>
      <c r="K202" s="134"/>
      <c r="M202" s="73"/>
      <c r="T202" s="101"/>
      <c r="U202" s="101"/>
      <c r="V202" s="101"/>
      <c r="W202" s="101"/>
      <c r="X202" s="101"/>
      <c r="Y202" s="101"/>
      <c r="Z202" s="101"/>
      <c r="AA202" s="101"/>
      <c r="AB202" s="101"/>
      <c r="AC202" s="101"/>
      <c r="AD202" s="101"/>
      <c r="AE202" s="101"/>
      <c r="AF202" s="101"/>
      <c r="AG202" s="101"/>
      <c r="AH202" s="101"/>
      <c r="AI202" s="101"/>
      <c r="AJ202" s="101"/>
    </row>
    <row r="203" spans="1:36">
      <c r="B203" s="1419" t="s">
        <v>285</v>
      </c>
      <c r="C203" s="1419"/>
      <c r="D203" s="339" t="s">
        <v>14</v>
      </c>
      <c r="E203" s="156">
        <f>I37+I70+I85+I100+I115+I129+I143</f>
        <v>0</v>
      </c>
      <c r="F203" s="152">
        <f>I37+I70+I85+I100+I115+I129+I143</f>
        <v>0</v>
      </c>
      <c r="G203" s="153">
        <f>+I160</f>
        <v>0</v>
      </c>
      <c r="H203" s="153">
        <f>-I154</f>
        <v>0</v>
      </c>
      <c r="I203" s="1527"/>
      <c r="J203" s="1528"/>
      <c r="K203" s="135"/>
      <c r="L203" s="73"/>
      <c r="M203" s="73"/>
    </row>
    <row r="204" spans="1:36">
      <c r="B204" s="1419" t="s">
        <v>264</v>
      </c>
      <c r="C204" s="1419"/>
      <c r="D204" s="339" t="s">
        <v>14</v>
      </c>
      <c r="E204" s="156">
        <f>I60+I75+I90+I105+I120+I134+I148-I197</f>
        <v>0</v>
      </c>
      <c r="F204" s="152">
        <f>I60+I75+I90+I105+I120+I134+I148</f>
        <v>0</v>
      </c>
      <c r="G204" s="153">
        <f>+I163</f>
        <v>0</v>
      </c>
      <c r="H204" s="153"/>
      <c r="I204" s="1527"/>
      <c r="J204" s="1528"/>
      <c r="K204" s="73"/>
      <c r="L204" s="73"/>
      <c r="M204" s="73"/>
    </row>
    <row r="205" spans="1:36" s="101" customFormat="1">
      <c r="A205" s="148"/>
      <c r="B205" s="1419" t="s">
        <v>286</v>
      </c>
      <c r="C205" s="1419"/>
      <c r="D205" s="339" t="s">
        <v>14</v>
      </c>
      <c r="E205" s="156">
        <f>I186</f>
        <v>0</v>
      </c>
      <c r="F205" s="152">
        <f>+SUM(I169:I175)</f>
        <v>0</v>
      </c>
      <c r="G205" s="254">
        <f>+I176+I177+I178</f>
        <v>0</v>
      </c>
      <c r="H205" s="153">
        <f>+I179</f>
        <v>0</v>
      </c>
      <c r="I205" s="1531">
        <f>SUM(I180:I183)</f>
        <v>0</v>
      </c>
      <c r="J205" s="1532"/>
      <c r="K205" s="73"/>
      <c r="L205" s="73"/>
      <c r="T205" s="58"/>
      <c r="U205" s="58"/>
      <c r="V205" s="58"/>
      <c r="W205" s="58"/>
      <c r="X205" s="58"/>
      <c r="Y205" s="58"/>
      <c r="Z205" s="58"/>
      <c r="AA205" s="58"/>
      <c r="AB205" s="58"/>
      <c r="AC205" s="58"/>
      <c r="AD205" s="58"/>
      <c r="AE205" s="58"/>
      <c r="AF205" s="58"/>
      <c r="AG205" s="58"/>
      <c r="AH205" s="58"/>
      <c r="AI205" s="58"/>
      <c r="AJ205" s="58"/>
    </row>
    <row r="206" spans="1:36">
      <c r="B206" s="1419" t="s">
        <v>287</v>
      </c>
      <c r="C206" s="1419"/>
      <c r="D206" s="339" t="s">
        <v>14</v>
      </c>
      <c r="E206" s="156">
        <f>I191</f>
        <v>0</v>
      </c>
      <c r="F206" s="152">
        <f>+SUM(I190)</f>
        <v>0</v>
      </c>
      <c r="G206" s="153"/>
      <c r="H206" s="153"/>
      <c r="I206" s="1527"/>
      <c r="J206" s="1528"/>
    </row>
    <row r="207" spans="1:36">
      <c r="B207" s="1419" t="s">
        <v>301</v>
      </c>
      <c r="C207" s="1419"/>
      <c r="D207" s="339" t="s">
        <v>14</v>
      </c>
      <c r="E207" s="156">
        <f>-I154</f>
        <v>0</v>
      </c>
      <c r="F207" s="152"/>
      <c r="G207" s="153"/>
      <c r="H207" s="153"/>
      <c r="I207" s="1527"/>
      <c r="J207" s="1528"/>
    </row>
    <row r="208" spans="1:36">
      <c r="B208" s="1419" t="s">
        <v>288</v>
      </c>
      <c r="C208" s="1419"/>
      <c r="D208" s="339" t="s">
        <v>14</v>
      </c>
      <c r="E208" s="156">
        <f>+E203+E204+E205+E206+E207</f>
        <v>0</v>
      </c>
      <c r="F208" s="154">
        <f>+SUM(F203:F206)</f>
        <v>0</v>
      </c>
      <c r="G208" s="155">
        <f>+SUM(G203:G206)</f>
        <v>0</v>
      </c>
      <c r="H208" s="155">
        <f>+SUM(H203:H206)</f>
        <v>0</v>
      </c>
      <c r="I208" s="1529"/>
      <c r="J208" s="1530"/>
    </row>
    <row r="209" spans="1:2">
      <c r="B209" s="101" t="s">
        <v>289</v>
      </c>
    </row>
    <row r="221" spans="1:2">
      <c r="A221" s="58"/>
    </row>
    <row r="222" spans="1:2">
      <c r="A222" s="58"/>
    </row>
    <row r="223" spans="1:2">
      <c r="A223" s="58"/>
    </row>
    <row r="224" spans="1:2">
      <c r="A224" s="58"/>
    </row>
    <row r="225" spans="1:18">
      <c r="A225" s="58"/>
    </row>
    <row r="226" spans="1:18">
      <c r="A226" s="58"/>
    </row>
    <row r="227" spans="1:18">
      <c r="A227" s="58"/>
    </row>
    <row r="228" spans="1:18">
      <c r="A228" s="58"/>
    </row>
    <row r="229" spans="1:18">
      <c r="A229" s="58"/>
    </row>
    <row r="230" spans="1:18">
      <c r="A230" s="58"/>
    </row>
    <row r="231" spans="1:18">
      <c r="A231" s="58"/>
    </row>
    <row r="232" spans="1:18">
      <c r="A232" s="58"/>
    </row>
    <row r="233" spans="1:18">
      <c r="A233" s="58"/>
    </row>
    <row r="234" spans="1:18">
      <c r="A234" s="58"/>
    </row>
    <row r="235" spans="1:18">
      <c r="A235" s="58"/>
    </row>
    <row r="236" spans="1:18">
      <c r="A236" s="58"/>
    </row>
    <row r="237" spans="1:18">
      <c r="A237" s="58"/>
    </row>
    <row r="238" spans="1:18" hidden="1">
      <c r="A238" s="58"/>
      <c r="B238" s="354" t="s">
        <v>230</v>
      </c>
      <c r="C238" s="337" t="s">
        <v>231</v>
      </c>
      <c r="D238" s="337" t="s">
        <v>232</v>
      </c>
      <c r="E238" s="337" t="s">
        <v>233</v>
      </c>
      <c r="F238" s="337" t="s">
        <v>23</v>
      </c>
      <c r="G238" s="1415" t="s">
        <v>235</v>
      </c>
      <c r="H238" s="1415"/>
      <c r="I238" s="1415" t="s">
        <v>236</v>
      </c>
      <c r="J238" s="1415"/>
      <c r="K238" s="1415" t="s">
        <v>237</v>
      </c>
      <c r="L238" s="1415"/>
      <c r="M238" s="1416" t="s">
        <v>291</v>
      </c>
      <c r="N238" s="1416"/>
      <c r="O238" s="77" t="s">
        <v>238</v>
      </c>
      <c r="P238" s="77" t="s">
        <v>239</v>
      </c>
      <c r="Q238" s="77" t="s">
        <v>240</v>
      </c>
      <c r="R238" s="337" t="s">
        <v>97</v>
      </c>
    </row>
    <row r="239" spans="1:18" ht="15.75" hidden="1">
      <c r="A239" s="58"/>
      <c r="B239" s="1417"/>
      <c r="C239" s="1419" t="s">
        <v>413</v>
      </c>
      <c r="D239" s="1221"/>
      <c r="E239" s="167">
        <f>+⑤基本情報入力!J181</f>
        <v>0</v>
      </c>
      <c r="F239" s="78" t="s">
        <v>415</v>
      </c>
      <c r="G239" s="79" t="s">
        <v>11</v>
      </c>
      <c r="H239" s="79" t="s">
        <v>421</v>
      </c>
      <c r="I239" s="80">
        <f>K239*(1-O239)*(P239+P239/((P239+1)^Q239-1))</f>
        <v>0</v>
      </c>
      <c r="J239" s="72" t="s">
        <v>124</v>
      </c>
      <c r="K239" s="70">
        <f>4.8485*M239^0.7556</f>
        <v>0</v>
      </c>
      <c r="L239" s="79" t="s">
        <v>120</v>
      </c>
      <c r="M239" s="80">
        <f>'物質収支（いしかわモデル）'!X87/24</f>
        <v>0</v>
      </c>
      <c r="N239" s="1221" t="s">
        <v>425</v>
      </c>
      <c r="O239" s="81">
        <f>+⑤基本情報入力!$Y$61</f>
        <v>0.1</v>
      </c>
      <c r="P239" s="82">
        <f>+⑤基本情報入力!$AB$61</f>
        <v>2.3E-2</v>
      </c>
      <c r="Q239" s="83">
        <f>+⑤基本情報入力!$AE$61</f>
        <v>20</v>
      </c>
      <c r="R239" s="72" t="s">
        <v>417</v>
      </c>
    </row>
    <row r="240" spans="1:18" ht="15.75" hidden="1">
      <c r="A240" s="58"/>
      <c r="B240" s="1417"/>
      <c r="C240" s="1419"/>
      <c r="D240" s="1221"/>
      <c r="E240" s="347">
        <v>0</v>
      </c>
      <c r="F240" s="78" t="s">
        <v>8</v>
      </c>
      <c r="G240" s="79" t="s">
        <v>11</v>
      </c>
      <c r="H240" s="79" t="s">
        <v>422</v>
      </c>
      <c r="I240" s="80">
        <f>K240*(1-O240)*(P240+P240/((P240+1)^Q240-1))</f>
        <v>0</v>
      </c>
      <c r="J240" s="72" t="s">
        <v>124</v>
      </c>
      <c r="K240" s="70">
        <f>0.0407*M240^1.288</f>
        <v>0</v>
      </c>
      <c r="L240" s="79" t="s">
        <v>120</v>
      </c>
      <c r="M240" s="80">
        <f>'物質収支（いしかわモデル）'!X87/24</f>
        <v>0</v>
      </c>
      <c r="N240" s="1221"/>
      <c r="O240" s="81">
        <f>+⑤基本情報入力!$Y$63</f>
        <v>0.1</v>
      </c>
      <c r="P240" s="84">
        <f>+⑤基本情報入力!$AB$63</f>
        <v>2.3E-2</v>
      </c>
      <c r="Q240" s="83">
        <f>+⑤基本情報入力!$AE$63</f>
        <v>40</v>
      </c>
      <c r="R240" s="72" t="s">
        <v>417</v>
      </c>
    </row>
    <row r="241" spans="1:18" hidden="1">
      <c r="A241" s="58"/>
      <c r="B241" s="1418"/>
      <c r="C241" s="1434" t="s">
        <v>259</v>
      </c>
      <c r="D241" s="1434"/>
      <c r="E241" s="1434"/>
      <c r="F241" s="1434"/>
      <c r="G241" s="1434"/>
      <c r="H241" s="1434"/>
      <c r="I241" s="109">
        <f>SUM(I239:I240)</f>
        <v>0</v>
      </c>
      <c r="J241" s="110" t="s">
        <v>124</v>
      </c>
      <c r="K241" s="111">
        <f>SUM(K239)</f>
        <v>0</v>
      </c>
      <c r="L241" s="112" t="s">
        <v>120</v>
      </c>
      <c r="M241" s="113"/>
      <c r="N241" s="336"/>
      <c r="O241" s="99"/>
      <c r="P241" s="100"/>
      <c r="Q241" s="101"/>
      <c r="R241" s="101"/>
    </row>
    <row r="242" spans="1:18" hidden="1">
      <c r="B242" s="335" t="s">
        <v>260</v>
      </c>
      <c r="C242" s="334" t="s">
        <v>231</v>
      </c>
      <c r="D242" s="334" t="s">
        <v>232</v>
      </c>
      <c r="E242" s="334" t="s">
        <v>233</v>
      </c>
      <c r="F242" s="334" t="s">
        <v>273</v>
      </c>
      <c r="G242" s="1432" t="s">
        <v>235</v>
      </c>
      <c r="H242" s="1432"/>
      <c r="I242" s="1432" t="s">
        <v>237</v>
      </c>
      <c r="J242" s="1432"/>
      <c r="K242" s="1433" t="s">
        <v>291</v>
      </c>
      <c r="L242" s="1433"/>
      <c r="M242" s="1432" t="s">
        <v>97</v>
      </c>
      <c r="N242" s="1432"/>
      <c r="O242" s="1432"/>
      <c r="P242" s="1432"/>
      <c r="Q242" s="1432"/>
      <c r="R242" s="1432"/>
    </row>
    <row r="243" spans="1:18" ht="15.75" hidden="1">
      <c r="B243" s="1435"/>
      <c r="C243" s="338" t="s">
        <v>413</v>
      </c>
      <c r="D243" s="339"/>
      <c r="E243" s="167">
        <f>+⑤基本情報入力!J181</f>
        <v>0</v>
      </c>
      <c r="F243" s="78" t="s">
        <v>264</v>
      </c>
      <c r="G243" s="79" t="s">
        <v>11</v>
      </c>
      <c r="H243" s="72" t="s">
        <v>416</v>
      </c>
      <c r="I243" s="80">
        <f>0.0296*K243+5.9964</f>
        <v>5.9964000000000004</v>
      </c>
      <c r="J243" s="72" t="s">
        <v>124</v>
      </c>
      <c r="K243" s="80">
        <f>'物質収支（いしかわモデル）'!X87/24</f>
        <v>0</v>
      </c>
      <c r="L243" s="339" t="s">
        <v>243</v>
      </c>
      <c r="M243" s="1217" t="s">
        <v>417</v>
      </c>
      <c r="N243" s="1218"/>
      <c r="O243" s="1218"/>
      <c r="P243" s="1218"/>
      <c r="Q243" s="1218"/>
      <c r="R243" s="1422"/>
    </row>
    <row r="244" spans="1:18" ht="14.25" hidden="1" thickTop="1">
      <c r="B244" s="1436"/>
      <c r="C244" s="1434" t="s">
        <v>259</v>
      </c>
      <c r="D244" s="1434"/>
      <c r="E244" s="1434"/>
      <c r="F244" s="1434"/>
      <c r="G244" s="1434"/>
      <c r="H244" s="1434"/>
      <c r="I244" s="109">
        <f>SUM(I243:I243)</f>
        <v>5.9964000000000004</v>
      </c>
      <c r="J244" s="114" t="s">
        <v>124</v>
      </c>
      <c r="K244" s="95"/>
      <c r="L244" s="101"/>
      <c r="M244" s="1431"/>
      <c r="N244" s="1431"/>
      <c r="O244" s="1431"/>
      <c r="P244" s="1431"/>
      <c r="Q244" s="1431"/>
      <c r="R244" s="1431"/>
    </row>
    <row r="245" spans="1:18" hidden="1"/>
    <row r="246" spans="1:18" hidden="1">
      <c r="B246" s="354" t="s">
        <v>230</v>
      </c>
      <c r="C246" s="337" t="s">
        <v>231</v>
      </c>
      <c r="D246" s="337" t="s">
        <v>232</v>
      </c>
      <c r="E246" s="337" t="s">
        <v>233</v>
      </c>
      <c r="F246" s="337" t="s">
        <v>23</v>
      </c>
      <c r="G246" s="1415" t="s">
        <v>235</v>
      </c>
      <c r="H246" s="1415"/>
      <c r="I246" s="1415" t="s">
        <v>236</v>
      </c>
      <c r="J246" s="1415"/>
      <c r="K246" s="1415" t="s">
        <v>237</v>
      </c>
      <c r="L246" s="1415"/>
      <c r="M246" s="1416" t="s">
        <v>291</v>
      </c>
      <c r="N246" s="1416"/>
      <c r="O246" s="77" t="s">
        <v>238</v>
      </c>
      <c r="P246" s="77" t="s">
        <v>239</v>
      </c>
      <c r="Q246" s="77" t="s">
        <v>240</v>
      </c>
      <c r="R246" s="337" t="s">
        <v>97</v>
      </c>
    </row>
    <row r="247" spans="1:18" ht="15.75" hidden="1">
      <c r="B247" s="1417"/>
      <c r="C247" s="1423" t="s">
        <v>426</v>
      </c>
      <c r="D247" s="1347"/>
      <c r="E247" s="167">
        <f>+⑤基本情報入力!J197</f>
        <v>0</v>
      </c>
      <c r="F247" s="78" t="s">
        <v>3</v>
      </c>
      <c r="G247" s="79" t="s">
        <v>11</v>
      </c>
      <c r="H247" s="79" t="s">
        <v>427</v>
      </c>
      <c r="I247" s="80">
        <f>K247*(1-O247)*(P247+P247/((P247+1)^Q247-1))</f>
        <v>0</v>
      </c>
      <c r="J247" s="72" t="s">
        <v>124</v>
      </c>
      <c r="K247" s="70">
        <f>0.919*M247^0.712</f>
        <v>0</v>
      </c>
      <c r="L247" s="79" t="s">
        <v>120</v>
      </c>
      <c r="M247" s="80">
        <f>'物質収支（いしかわモデル）'!X84</f>
        <v>0</v>
      </c>
      <c r="N247" s="1221" t="s">
        <v>433</v>
      </c>
      <c r="O247" s="81">
        <f>+⑤基本情報入力!$Y$61</f>
        <v>0.1</v>
      </c>
      <c r="P247" s="82">
        <f>+⑤基本情報入力!$AB$61</f>
        <v>2.3E-2</v>
      </c>
      <c r="Q247" s="83">
        <f>+⑤基本情報入力!$AE$61</f>
        <v>20</v>
      </c>
      <c r="R247" s="72" t="s">
        <v>442</v>
      </c>
    </row>
    <row r="248" spans="1:18" ht="16.5" hidden="1" thickBot="1">
      <c r="B248" s="1417"/>
      <c r="C248" s="1453"/>
      <c r="D248" s="1349"/>
      <c r="E248" s="347">
        <v>0</v>
      </c>
      <c r="F248" s="78" t="s">
        <v>4</v>
      </c>
      <c r="G248" s="79" t="s">
        <v>11</v>
      </c>
      <c r="H248" s="79" t="s">
        <v>430</v>
      </c>
      <c r="I248" s="80">
        <f>K248*(1-O248)*(P248+P248/((P248+1)^Q248-1))</f>
        <v>0</v>
      </c>
      <c r="J248" s="72" t="s">
        <v>124</v>
      </c>
      <c r="K248" s="70">
        <f>1.01*M248^0.578</f>
        <v>0</v>
      </c>
      <c r="L248" s="79" t="s">
        <v>120</v>
      </c>
      <c r="M248" s="80">
        <f>'物質収支（いしかわモデル）'!X84</f>
        <v>0</v>
      </c>
      <c r="N248" s="1221"/>
      <c r="O248" s="91">
        <f>+⑤基本情報入力!$Y$62</f>
        <v>0.1</v>
      </c>
      <c r="P248" s="92">
        <f>+⑤基本情報入力!$AB$62</f>
        <v>2.3E-2</v>
      </c>
      <c r="Q248" s="93">
        <f>+⑤基本情報入力!$AE$62</f>
        <v>15</v>
      </c>
      <c r="R248" s="72" t="s">
        <v>434</v>
      </c>
    </row>
    <row r="249" spans="1:18" hidden="1">
      <c r="B249" s="1418"/>
      <c r="C249" s="1434" t="s">
        <v>259</v>
      </c>
      <c r="D249" s="1434"/>
      <c r="E249" s="1434"/>
      <c r="F249" s="1434"/>
      <c r="G249" s="1434"/>
      <c r="H249" s="1434"/>
      <c r="I249" s="109">
        <f>SUM(I247:I248)</f>
        <v>0</v>
      </c>
      <c r="J249" s="110" t="s">
        <v>124</v>
      </c>
      <c r="K249" s="111">
        <f>SUM(K247:K248)</f>
        <v>0</v>
      </c>
      <c r="L249" s="112" t="s">
        <v>120</v>
      </c>
      <c r="M249" s="113"/>
      <c r="N249" s="336"/>
      <c r="O249" s="99"/>
      <c r="P249" s="100"/>
      <c r="Q249" s="101"/>
      <c r="R249" s="101"/>
    </row>
    <row r="250" spans="1:18" hidden="1">
      <c r="B250" s="335" t="s">
        <v>260</v>
      </c>
      <c r="C250" s="334" t="s">
        <v>231</v>
      </c>
      <c r="D250" s="334" t="s">
        <v>232</v>
      </c>
      <c r="E250" s="334" t="s">
        <v>233</v>
      </c>
      <c r="F250" s="334" t="s">
        <v>273</v>
      </c>
      <c r="G250" s="1432" t="s">
        <v>235</v>
      </c>
      <c r="H250" s="1432"/>
      <c r="I250" s="1432" t="s">
        <v>237</v>
      </c>
      <c r="J250" s="1432"/>
      <c r="K250" s="1433" t="s">
        <v>291</v>
      </c>
      <c r="L250" s="1433"/>
      <c r="M250" s="1432" t="s">
        <v>97</v>
      </c>
      <c r="N250" s="1432"/>
      <c r="O250" s="1432"/>
      <c r="P250" s="1432"/>
      <c r="Q250" s="1432"/>
      <c r="R250" s="1432"/>
    </row>
    <row r="251" spans="1:18" ht="15.75" hidden="1">
      <c r="B251" s="1435"/>
      <c r="C251" s="338" t="s">
        <v>426</v>
      </c>
      <c r="D251" s="339"/>
      <c r="E251" s="167">
        <f>+⑤基本情報入力!J197</f>
        <v>0</v>
      </c>
      <c r="F251" s="78" t="s">
        <v>13</v>
      </c>
      <c r="G251" s="79" t="s">
        <v>11</v>
      </c>
      <c r="H251" s="72" t="s">
        <v>431</v>
      </c>
      <c r="I251" s="80">
        <f>0.344*K251^0.668</f>
        <v>0</v>
      </c>
      <c r="J251" s="72" t="s">
        <v>124</v>
      </c>
      <c r="K251" s="80">
        <f>'物質収支（いしかわモデル）'!X87</f>
        <v>0</v>
      </c>
      <c r="L251" s="339" t="s">
        <v>357</v>
      </c>
      <c r="M251" s="1217" t="s">
        <v>435</v>
      </c>
      <c r="N251" s="1218"/>
      <c r="O251" s="1218"/>
      <c r="P251" s="1218"/>
      <c r="Q251" s="1218"/>
      <c r="R251" s="1422"/>
    </row>
    <row r="252" spans="1:18" ht="14.25" hidden="1" thickTop="1">
      <c r="B252" s="1436"/>
      <c r="C252" s="1434" t="s">
        <v>259</v>
      </c>
      <c r="D252" s="1434"/>
      <c r="E252" s="1434"/>
      <c r="F252" s="1434"/>
      <c r="G252" s="1434"/>
      <c r="H252" s="1434"/>
      <c r="I252" s="109">
        <f>SUM(I251:I251)</f>
        <v>0</v>
      </c>
      <c r="J252" s="114" t="s">
        <v>124</v>
      </c>
      <c r="K252" s="95"/>
      <c r="L252" s="101"/>
      <c r="M252" s="1431"/>
      <c r="N252" s="1431"/>
      <c r="O252" s="1431"/>
      <c r="P252" s="1431"/>
      <c r="Q252" s="1431"/>
      <c r="R252" s="1431"/>
    </row>
    <row r="253" spans="1:18" hidden="1"/>
    <row r="254" spans="1:18" hidden="1">
      <c r="B254" s="354" t="s">
        <v>230</v>
      </c>
      <c r="C254" s="337" t="s">
        <v>231</v>
      </c>
      <c r="D254" s="337" t="s">
        <v>232</v>
      </c>
      <c r="E254" s="337" t="s">
        <v>233</v>
      </c>
      <c r="F254" s="337" t="s">
        <v>23</v>
      </c>
      <c r="G254" s="1415" t="s">
        <v>235</v>
      </c>
      <c r="H254" s="1415"/>
      <c r="I254" s="1415" t="s">
        <v>236</v>
      </c>
      <c r="J254" s="1415"/>
      <c r="K254" s="1415" t="s">
        <v>237</v>
      </c>
      <c r="L254" s="1415"/>
      <c r="M254" s="1416" t="s">
        <v>291</v>
      </c>
      <c r="N254" s="1416"/>
      <c r="O254" s="77" t="s">
        <v>238</v>
      </c>
      <c r="P254" s="77" t="s">
        <v>239</v>
      </c>
      <c r="Q254" s="77" t="s">
        <v>240</v>
      </c>
      <c r="R254" s="337" t="s">
        <v>97</v>
      </c>
    </row>
    <row r="255" spans="1:18" ht="15.75" hidden="1">
      <c r="B255" s="1417"/>
      <c r="C255" s="1419" t="s">
        <v>413</v>
      </c>
      <c r="D255" s="1221"/>
      <c r="E255" s="167">
        <f>+⑤基本情報入力!J205</f>
        <v>0</v>
      </c>
      <c r="F255" s="78" t="s">
        <v>3</v>
      </c>
      <c r="G255" s="79" t="s">
        <v>11</v>
      </c>
      <c r="H255" s="79" t="s">
        <v>429</v>
      </c>
      <c r="I255" s="80">
        <f>K255*(1-O255)*(P255+P255/((P255+1)^Q255-1))</f>
        <v>0</v>
      </c>
      <c r="J255" s="72" t="s">
        <v>124</v>
      </c>
      <c r="K255" s="70">
        <f>1.31*M255^0.699</f>
        <v>0</v>
      </c>
      <c r="L255" s="79" t="s">
        <v>120</v>
      </c>
      <c r="M255" s="80">
        <f>'物質収支（いしかわモデル）'!X84</f>
        <v>0</v>
      </c>
      <c r="N255" s="1221" t="s">
        <v>433</v>
      </c>
      <c r="O255" s="81">
        <f>+⑤基本情報入力!$Y$61</f>
        <v>0.1</v>
      </c>
      <c r="P255" s="82">
        <f>+⑤基本情報入力!$AB$61</f>
        <v>2.3E-2</v>
      </c>
      <c r="Q255" s="83">
        <f>+⑤基本情報入力!$AE$61</f>
        <v>20</v>
      </c>
      <c r="R255" s="72" t="s">
        <v>443</v>
      </c>
    </row>
    <row r="256" spans="1:18" ht="16.5" hidden="1" thickBot="1">
      <c r="B256" s="1417"/>
      <c r="C256" s="1419"/>
      <c r="D256" s="1221"/>
      <c r="E256" s="347">
        <v>0</v>
      </c>
      <c r="F256" s="78" t="s">
        <v>4</v>
      </c>
      <c r="G256" s="79" t="s">
        <v>11</v>
      </c>
      <c r="H256" s="79" t="s">
        <v>428</v>
      </c>
      <c r="I256" s="80">
        <f>K256*(1-O256)*(P256+P256/((P256+1)^Q256-1))</f>
        <v>0</v>
      </c>
      <c r="J256" s="72" t="s">
        <v>124</v>
      </c>
      <c r="K256" s="70">
        <f>0.201*M256^0.751</f>
        <v>0</v>
      </c>
      <c r="L256" s="79" t="s">
        <v>120</v>
      </c>
      <c r="M256" s="80">
        <f>'物質収支（いしかわモデル）'!X84</f>
        <v>0</v>
      </c>
      <c r="N256" s="1221"/>
      <c r="O256" s="91">
        <f>+⑤基本情報入力!$Y$62</f>
        <v>0.1</v>
      </c>
      <c r="P256" s="92">
        <f>+⑤基本情報入力!$AB$62</f>
        <v>2.3E-2</v>
      </c>
      <c r="Q256" s="93">
        <f>+⑤基本情報入力!$AE$62</f>
        <v>15</v>
      </c>
      <c r="R256" s="72" t="s">
        <v>434</v>
      </c>
    </row>
    <row r="257" spans="2:18" hidden="1">
      <c r="B257" s="1418"/>
      <c r="C257" s="1434" t="s">
        <v>259</v>
      </c>
      <c r="D257" s="1434"/>
      <c r="E257" s="1434"/>
      <c r="F257" s="1434"/>
      <c r="G257" s="1434"/>
      <c r="H257" s="1434"/>
      <c r="I257" s="109">
        <f>SUM(I255:I256)</f>
        <v>0</v>
      </c>
      <c r="J257" s="110" t="s">
        <v>124</v>
      </c>
      <c r="K257" s="111">
        <f>SUM(K255:K256)</f>
        <v>0</v>
      </c>
      <c r="L257" s="112" t="s">
        <v>120</v>
      </c>
      <c r="M257" s="113"/>
      <c r="N257" s="336"/>
      <c r="O257" s="99"/>
      <c r="P257" s="100"/>
      <c r="Q257" s="101"/>
      <c r="R257" s="101"/>
    </row>
    <row r="258" spans="2:18" hidden="1">
      <c r="B258" s="335" t="s">
        <v>260</v>
      </c>
      <c r="C258" s="334" t="s">
        <v>231</v>
      </c>
      <c r="D258" s="334" t="s">
        <v>232</v>
      </c>
      <c r="E258" s="334" t="s">
        <v>233</v>
      </c>
      <c r="F258" s="334" t="s">
        <v>273</v>
      </c>
      <c r="G258" s="1432" t="s">
        <v>235</v>
      </c>
      <c r="H258" s="1432"/>
      <c r="I258" s="1432" t="s">
        <v>237</v>
      </c>
      <c r="J258" s="1432"/>
      <c r="K258" s="1433" t="s">
        <v>291</v>
      </c>
      <c r="L258" s="1433"/>
      <c r="M258" s="1432" t="s">
        <v>97</v>
      </c>
      <c r="N258" s="1432"/>
      <c r="O258" s="1432"/>
      <c r="P258" s="1432"/>
      <c r="Q258" s="1432"/>
      <c r="R258" s="1432"/>
    </row>
    <row r="259" spans="2:18" ht="15.75" hidden="1">
      <c r="B259" s="1435"/>
      <c r="C259" s="338" t="s">
        <v>413</v>
      </c>
      <c r="D259" s="339"/>
      <c r="E259" s="167">
        <f>+⑤基本情報入力!J205</f>
        <v>0</v>
      </c>
      <c r="F259" s="78" t="s">
        <v>13</v>
      </c>
      <c r="G259" s="79" t="s">
        <v>11</v>
      </c>
      <c r="H259" s="72" t="s">
        <v>432</v>
      </c>
      <c r="I259" s="80">
        <f>0.191*K259^0.717</f>
        <v>0</v>
      </c>
      <c r="J259" s="72" t="s">
        <v>124</v>
      </c>
      <c r="K259" s="80">
        <f>'物質収支（いしかわモデル）'!X87</f>
        <v>0</v>
      </c>
      <c r="L259" s="339" t="s">
        <v>357</v>
      </c>
      <c r="M259" s="1217" t="s">
        <v>435</v>
      </c>
      <c r="N259" s="1218"/>
      <c r="O259" s="1218"/>
      <c r="P259" s="1218"/>
      <c r="Q259" s="1218"/>
      <c r="R259" s="1422"/>
    </row>
    <row r="260" spans="2:18" ht="14.25" hidden="1" thickTop="1">
      <c r="B260" s="1436"/>
      <c r="C260" s="1434" t="s">
        <v>259</v>
      </c>
      <c r="D260" s="1434"/>
      <c r="E260" s="1434"/>
      <c r="F260" s="1434"/>
      <c r="G260" s="1434"/>
      <c r="H260" s="1434"/>
      <c r="I260" s="109">
        <f>SUM(I259:I259)</f>
        <v>0</v>
      </c>
      <c r="J260" s="114" t="s">
        <v>124</v>
      </c>
      <c r="K260" s="95"/>
      <c r="L260" s="101"/>
      <c r="M260" s="1431"/>
      <c r="N260" s="1431"/>
      <c r="O260" s="1431"/>
      <c r="P260" s="1431"/>
      <c r="Q260" s="1431"/>
      <c r="R260" s="1431"/>
    </row>
  </sheetData>
  <mergeCells count="367">
    <mergeCell ref="D15:D16"/>
    <mergeCell ref="C13:C14"/>
    <mergeCell ref="C39:C40"/>
    <mergeCell ref="C22:C24"/>
    <mergeCell ref="D22:D24"/>
    <mergeCell ref="C25:C28"/>
    <mergeCell ref="D25:D28"/>
    <mergeCell ref="B259:B260"/>
    <mergeCell ref="M259:R259"/>
    <mergeCell ref="C260:H260"/>
    <mergeCell ref="M260:R260"/>
    <mergeCell ref="B255:B257"/>
    <mergeCell ref="C255:C256"/>
    <mergeCell ref="D255:D256"/>
    <mergeCell ref="N255:N256"/>
    <mergeCell ref="C257:H257"/>
    <mergeCell ref="G258:H258"/>
    <mergeCell ref="I258:J258"/>
    <mergeCell ref="K258:L258"/>
    <mergeCell ref="M258:R258"/>
    <mergeCell ref="B251:B252"/>
    <mergeCell ref="M251:R251"/>
    <mergeCell ref="C252:H252"/>
    <mergeCell ref="M252:R252"/>
    <mergeCell ref="G254:H254"/>
    <mergeCell ref="I254:J254"/>
    <mergeCell ref="K254:L254"/>
    <mergeCell ref="M254:N254"/>
    <mergeCell ref="B247:B249"/>
    <mergeCell ref="C247:C248"/>
    <mergeCell ref="D247:D248"/>
    <mergeCell ref="N247:N248"/>
    <mergeCell ref="C249:H249"/>
    <mergeCell ref="G250:H250"/>
    <mergeCell ref="I250:J250"/>
    <mergeCell ref="K250:L250"/>
    <mergeCell ref="M250:R250"/>
    <mergeCell ref="B243:B244"/>
    <mergeCell ref="M243:R243"/>
    <mergeCell ref="C244:H244"/>
    <mergeCell ref="M244:R244"/>
    <mergeCell ref="G246:H246"/>
    <mergeCell ref="I246:J246"/>
    <mergeCell ref="K246:L246"/>
    <mergeCell ref="M246:N246"/>
    <mergeCell ref="B239:B241"/>
    <mergeCell ref="C239:C240"/>
    <mergeCell ref="D239:D240"/>
    <mergeCell ref="N239:N240"/>
    <mergeCell ref="C241:H241"/>
    <mergeCell ref="G242:H242"/>
    <mergeCell ref="I242:J242"/>
    <mergeCell ref="K242:L242"/>
    <mergeCell ref="M242:R242"/>
    <mergeCell ref="B208:C208"/>
    <mergeCell ref="I208:J208"/>
    <mergeCell ref="G238:H238"/>
    <mergeCell ref="I238:J238"/>
    <mergeCell ref="K238:L238"/>
    <mergeCell ref="M238:N238"/>
    <mergeCell ref="B205:C205"/>
    <mergeCell ref="I205:J205"/>
    <mergeCell ref="B206:C206"/>
    <mergeCell ref="I206:J206"/>
    <mergeCell ref="B207:C207"/>
    <mergeCell ref="I207:J207"/>
    <mergeCell ref="B202:C202"/>
    <mergeCell ref="I202:J202"/>
    <mergeCell ref="B203:C203"/>
    <mergeCell ref="I203:J203"/>
    <mergeCell ref="B204:C204"/>
    <mergeCell ref="I204:J204"/>
    <mergeCell ref="O189:R189"/>
    <mergeCell ref="D190:E190"/>
    <mergeCell ref="G190:H190"/>
    <mergeCell ref="O190:R190"/>
    <mergeCell ref="C191:H191"/>
    <mergeCell ref="B201:C201"/>
    <mergeCell ref="I201:J201"/>
    <mergeCell ref="D195:E195"/>
    <mergeCell ref="G195:H195"/>
    <mergeCell ref="I195:J195"/>
    <mergeCell ref="K195:L195"/>
    <mergeCell ref="M195:N195"/>
    <mergeCell ref="O195:R195"/>
    <mergeCell ref="D196:E196"/>
    <mergeCell ref="G196:H196"/>
    <mergeCell ref="O196:R196"/>
    <mergeCell ref="C197:H197"/>
    <mergeCell ref="C186:H186"/>
    <mergeCell ref="D189:E189"/>
    <mergeCell ref="G189:H189"/>
    <mergeCell ref="I189:J189"/>
    <mergeCell ref="K189:L189"/>
    <mergeCell ref="M189:N189"/>
    <mergeCell ref="D184:E184"/>
    <mergeCell ref="G184:H184"/>
    <mergeCell ref="O184:R184"/>
    <mergeCell ref="D185:E185"/>
    <mergeCell ref="G185:H185"/>
    <mergeCell ref="O185:R185"/>
    <mergeCell ref="D182:E182"/>
    <mergeCell ref="G182:H182"/>
    <mergeCell ref="O182:R182"/>
    <mergeCell ref="D183:E183"/>
    <mergeCell ref="G183:H183"/>
    <mergeCell ref="O183:R183"/>
    <mergeCell ref="D180:E180"/>
    <mergeCell ref="G180:H180"/>
    <mergeCell ref="O180:R180"/>
    <mergeCell ref="D181:E181"/>
    <mergeCell ref="G181:H181"/>
    <mergeCell ref="O181:R181"/>
    <mergeCell ref="O178:R178"/>
    <mergeCell ref="D179:E179"/>
    <mergeCell ref="G179:H179"/>
    <mergeCell ref="O179:R179"/>
    <mergeCell ref="D176:E176"/>
    <mergeCell ref="G176:H176"/>
    <mergeCell ref="O176:R176"/>
    <mergeCell ref="D177:E177"/>
    <mergeCell ref="G177:H177"/>
    <mergeCell ref="O177:R177"/>
    <mergeCell ref="B169:B186"/>
    <mergeCell ref="D169:E169"/>
    <mergeCell ref="G169:H169"/>
    <mergeCell ref="O169:R169"/>
    <mergeCell ref="D170:E170"/>
    <mergeCell ref="G170:H170"/>
    <mergeCell ref="O170:R170"/>
    <mergeCell ref="D171:E171"/>
    <mergeCell ref="G171:H171"/>
    <mergeCell ref="O171:R171"/>
    <mergeCell ref="D174:E174"/>
    <mergeCell ref="G174:H174"/>
    <mergeCell ref="O174:R174"/>
    <mergeCell ref="D175:E175"/>
    <mergeCell ref="G175:H175"/>
    <mergeCell ref="O175:R175"/>
    <mergeCell ref="D172:E172"/>
    <mergeCell ref="G172:H172"/>
    <mergeCell ref="O172:R172"/>
    <mergeCell ref="D173:E173"/>
    <mergeCell ref="G173:H173"/>
    <mergeCell ref="O173:R173"/>
    <mergeCell ref="D178:E178"/>
    <mergeCell ref="G178:H178"/>
    <mergeCell ref="D168:E168"/>
    <mergeCell ref="G168:H168"/>
    <mergeCell ref="I168:J168"/>
    <mergeCell ref="K168:L168"/>
    <mergeCell ref="M168:N168"/>
    <mergeCell ref="O168:R168"/>
    <mergeCell ref="G161:H161"/>
    <mergeCell ref="I161:J161"/>
    <mergeCell ref="K161:L161"/>
    <mergeCell ref="M161:R161"/>
    <mergeCell ref="B153:B154"/>
    <mergeCell ref="C154:H154"/>
    <mergeCell ref="B145:B148"/>
    <mergeCell ref="M145:R145"/>
    <mergeCell ref="M146:R146"/>
    <mergeCell ref="M147:R147"/>
    <mergeCell ref="C148:H148"/>
    <mergeCell ref="M148:R148"/>
    <mergeCell ref="B162:B163"/>
    <mergeCell ref="M162:R162"/>
    <mergeCell ref="C163:H163"/>
    <mergeCell ref="I157:J157"/>
    <mergeCell ref="K157:L157"/>
    <mergeCell ref="M157:N157"/>
    <mergeCell ref="B158:B160"/>
    <mergeCell ref="C158:C159"/>
    <mergeCell ref="D158:D159"/>
    <mergeCell ref="G158:G159"/>
    <mergeCell ref="H158:H159"/>
    <mergeCell ref="C160:H160"/>
    <mergeCell ref="G144:H144"/>
    <mergeCell ref="I144:J144"/>
    <mergeCell ref="K144:L144"/>
    <mergeCell ref="M144:R144"/>
    <mergeCell ref="G137:H137"/>
    <mergeCell ref="I137:J137"/>
    <mergeCell ref="K137:L137"/>
    <mergeCell ref="M137:N137"/>
    <mergeCell ref="G152:H152"/>
    <mergeCell ref="I152:J152"/>
    <mergeCell ref="K152:L152"/>
    <mergeCell ref="M152:N152"/>
    <mergeCell ref="G130:H130"/>
    <mergeCell ref="I130:J130"/>
    <mergeCell ref="K130:L130"/>
    <mergeCell ref="M130:R130"/>
    <mergeCell ref="G123:H123"/>
    <mergeCell ref="I123:J123"/>
    <mergeCell ref="K123:L123"/>
    <mergeCell ref="M123:N123"/>
    <mergeCell ref="B138:B143"/>
    <mergeCell ref="C138:C139"/>
    <mergeCell ref="D138:D139"/>
    <mergeCell ref="N138:N139"/>
    <mergeCell ref="C140:C141"/>
    <mergeCell ref="D140:D141"/>
    <mergeCell ref="B131:B134"/>
    <mergeCell ref="M131:R131"/>
    <mergeCell ref="M132:R132"/>
    <mergeCell ref="M133:R133"/>
    <mergeCell ref="C134:H134"/>
    <mergeCell ref="M134:R134"/>
    <mergeCell ref="N140:N141"/>
    <mergeCell ref="C143:H143"/>
    <mergeCell ref="M109:N109"/>
    <mergeCell ref="B124:B129"/>
    <mergeCell ref="C124:C125"/>
    <mergeCell ref="D124:D125"/>
    <mergeCell ref="N124:N125"/>
    <mergeCell ref="C126:C127"/>
    <mergeCell ref="D126:D127"/>
    <mergeCell ref="G116:H116"/>
    <mergeCell ref="I116:J116"/>
    <mergeCell ref="K116:L116"/>
    <mergeCell ref="M116:R116"/>
    <mergeCell ref="B117:B120"/>
    <mergeCell ref="M117:R117"/>
    <mergeCell ref="M118:R118"/>
    <mergeCell ref="M119:R119"/>
    <mergeCell ref="C120:H120"/>
    <mergeCell ref="N126:N127"/>
    <mergeCell ref="C129:H129"/>
    <mergeCell ref="G101:H101"/>
    <mergeCell ref="I101:J101"/>
    <mergeCell ref="K101:L101"/>
    <mergeCell ref="M101:R101"/>
    <mergeCell ref="G94:H94"/>
    <mergeCell ref="I94:J94"/>
    <mergeCell ref="K94:L94"/>
    <mergeCell ref="M94:N94"/>
    <mergeCell ref="B110:B115"/>
    <mergeCell ref="C110:C111"/>
    <mergeCell ref="D110:D111"/>
    <mergeCell ref="N110:N111"/>
    <mergeCell ref="C112:C113"/>
    <mergeCell ref="D112:D113"/>
    <mergeCell ref="N112:N113"/>
    <mergeCell ref="C115:H115"/>
    <mergeCell ref="B102:B105"/>
    <mergeCell ref="M102:R102"/>
    <mergeCell ref="M103:R103"/>
    <mergeCell ref="M104:R104"/>
    <mergeCell ref="C105:H105"/>
    <mergeCell ref="G109:H109"/>
    <mergeCell ref="I109:J109"/>
    <mergeCell ref="K109:L109"/>
    <mergeCell ref="G86:H86"/>
    <mergeCell ref="I86:J86"/>
    <mergeCell ref="K86:L86"/>
    <mergeCell ref="M86:R86"/>
    <mergeCell ref="G79:H79"/>
    <mergeCell ref="I79:J79"/>
    <mergeCell ref="K79:L79"/>
    <mergeCell ref="M79:N79"/>
    <mergeCell ref="B95:B100"/>
    <mergeCell ref="C95:C96"/>
    <mergeCell ref="D95:D96"/>
    <mergeCell ref="N95:N96"/>
    <mergeCell ref="C97:C98"/>
    <mergeCell ref="D97:D98"/>
    <mergeCell ref="B87:B90"/>
    <mergeCell ref="M87:R87"/>
    <mergeCell ref="M88:R88"/>
    <mergeCell ref="M89:R89"/>
    <mergeCell ref="C90:H90"/>
    <mergeCell ref="M90:R90"/>
    <mergeCell ref="N97:N98"/>
    <mergeCell ref="C100:H100"/>
    <mergeCell ref="G71:H71"/>
    <mergeCell ref="I71:J71"/>
    <mergeCell ref="K71:L71"/>
    <mergeCell ref="M71:R71"/>
    <mergeCell ref="G64:H64"/>
    <mergeCell ref="I64:J64"/>
    <mergeCell ref="K64:L64"/>
    <mergeCell ref="M64:N64"/>
    <mergeCell ref="B80:B85"/>
    <mergeCell ref="C80:C81"/>
    <mergeCell ref="D80:D81"/>
    <mergeCell ref="N80:N81"/>
    <mergeCell ref="C82:C83"/>
    <mergeCell ref="D82:D83"/>
    <mergeCell ref="B72:B75"/>
    <mergeCell ref="M72:R72"/>
    <mergeCell ref="M73:R73"/>
    <mergeCell ref="M74:R74"/>
    <mergeCell ref="C75:H75"/>
    <mergeCell ref="M75:R75"/>
    <mergeCell ref="N82:N83"/>
    <mergeCell ref="C85:H85"/>
    <mergeCell ref="B65:B70"/>
    <mergeCell ref="C65:C66"/>
    <mergeCell ref="D65:D66"/>
    <mergeCell ref="N65:N66"/>
    <mergeCell ref="C67:C68"/>
    <mergeCell ref="D67:D68"/>
    <mergeCell ref="M57:R57"/>
    <mergeCell ref="M58:R58"/>
    <mergeCell ref="M59:R59"/>
    <mergeCell ref="C60:H60"/>
    <mergeCell ref="M60:R60"/>
    <mergeCell ref="B63:C63"/>
    <mergeCell ref="B39:B60"/>
    <mergeCell ref="C43:C44"/>
    <mergeCell ref="D43:D44"/>
    <mergeCell ref="N67:N68"/>
    <mergeCell ref="E43:E44"/>
    <mergeCell ref="M43:N43"/>
    <mergeCell ref="Q43:R43"/>
    <mergeCell ref="M44:R44"/>
    <mergeCell ref="M45:R45"/>
    <mergeCell ref="M55:R55"/>
    <mergeCell ref="C70:H70"/>
    <mergeCell ref="M46:R46"/>
    <mergeCell ref="G38:H38"/>
    <mergeCell ref="I38:J38"/>
    <mergeCell ref="K38:L38"/>
    <mergeCell ref="M38:R38"/>
    <mergeCell ref="M39:R39"/>
    <mergeCell ref="M41:R41"/>
    <mergeCell ref="M42:R42"/>
    <mergeCell ref="C52:C53"/>
    <mergeCell ref="D52:D53"/>
    <mergeCell ref="E52:E53"/>
    <mergeCell ref="M52:N52"/>
    <mergeCell ref="Q52:R52"/>
    <mergeCell ref="M53:R53"/>
    <mergeCell ref="M47:R47"/>
    <mergeCell ref="M48:R48"/>
    <mergeCell ref="M49:P49"/>
    <mergeCell ref="Q49:R49"/>
    <mergeCell ref="C50:C51"/>
    <mergeCell ref="D50:D51"/>
    <mergeCell ref="M50:N50"/>
    <mergeCell ref="Q50:R50"/>
    <mergeCell ref="M51:R51"/>
    <mergeCell ref="D7:D8"/>
    <mergeCell ref="N7:N8"/>
    <mergeCell ref="C10:C12"/>
    <mergeCell ref="D10:D12"/>
    <mergeCell ref="D13:D14"/>
    <mergeCell ref="B3:C3"/>
    <mergeCell ref="G4:H4"/>
    <mergeCell ref="I4:J4"/>
    <mergeCell ref="K4:L4"/>
    <mergeCell ref="M4:N4"/>
    <mergeCell ref="B5:B37"/>
    <mergeCell ref="C5:C6"/>
    <mergeCell ref="D5:D6"/>
    <mergeCell ref="N5:N6"/>
    <mergeCell ref="C7:C8"/>
    <mergeCell ref="C29:C30"/>
    <mergeCell ref="D29:D30"/>
    <mergeCell ref="N29:N30"/>
    <mergeCell ref="C34:C36"/>
    <mergeCell ref="D34:D36"/>
    <mergeCell ref="C37:H37"/>
    <mergeCell ref="C18:C20"/>
    <mergeCell ref="D18:D20"/>
    <mergeCell ref="C15:C16"/>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B111"/>
  <sheetViews>
    <sheetView workbookViewId="0"/>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301" t="s">
        <v>575</v>
      </c>
      <c r="C2" s="1301"/>
      <c r="D2" s="1301"/>
      <c r="E2" s="1301"/>
      <c r="F2" s="1301"/>
      <c r="G2" s="1301"/>
      <c r="H2" s="1301"/>
      <c r="I2" s="1301"/>
      <c r="J2" s="1301"/>
      <c r="K2" s="1301"/>
      <c r="L2" s="1301"/>
      <c r="M2" s="1301"/>
      <c r="N2" s="1301"/>
      <c r="O2" s="1301"/>
      <c r="P2" s="1301"/>
      <c r="Q2" s="1301"/>
      <c r="R2" s="1301"/>
      <c r="S2" s="1301"/>
      <c r="T2" s="1301"/>
      <c r="U2" s="1301"/>
      <c r="V2" s="1301"/>
      <c r="W2" s="1301"/>
      <c r="X2" s="1301"/>
      <c r="Y2" s="1301"/>
    </row>
    <row r="3" spans="2:27" ht="14.25" thickBot="1">
      <c r="B3" s="1302" t="s">
        <v>330</v>
      </c>
      <c r="C3" s="1303"/>
      <c r="D3" s="1303"/>
      <c r="E3" s="1303"/>
      <c r="F3" s="1303"/>
      <c r="G3" s="1303"/>
      <c r="H3" s="1303"/>
      <c r="I3" s="1303"/>
      <c r="J3" s="1303"/>
      <c r="K3" s="1303"/>
      <c r="L3" s="1303"/>
      <c r="M3" s="1303"/>
      <c r="N3" s="1303"/>
      <c r="O3" s="1303"/>
      <c r="P3" s="1303"/>
      <c r="Q3" s="1303"/>
      <c r="R3" s="1303"/>
      <c r="S3" s="1303"/>
      <c r="T3" s="1303"/>
      <c r="U3" s="1303"/>
      <c r="V3" s="1303"/>
      <c r="W3" s="1303"/>
      <c r="X3" s="1303"/>
      <c r="Y3" s="1304"/>
    </row>
    <row r="4" spans="2:27">
      <c r="B4" s="1305" t="s">
        <v>48</v>
      </c>
      <c r="C4" s="1307" t="s">
        <v>23</v>
      </c>
      <c r="D4" s="1307"/>
      <c r="E4" s="1307"/>
      <c r="F4" s="1307"/>
      <c r="G4" s="1309" t="s">
        <v>49</v>
      </c>
      <c r="H4" s="1307" t="s">
        <v>24</v>
      </c>
      <c r="I4" s="1311" t="str">
        <f>③基本情報入力【例】!L12</f>
        <v>A市浄化センター</v>
      </c>
      <c r="J4" s="1311" t="str">
        <f>+③基本情報入力【例】!V12</f>
        <v>B町中央浄化センター</v>
      </c>
      <c r="K4" s="1311" t="str">
        <f>+③基本情報入力【例】!AA12</f>
        <v>B町浄化センター</v>
      </c>
      <c r="L4" s="1311" t="str">
        <f>+③基本情報入力【例】!AF12</f>
        <v>C町西浄化センター</v>
      </c>
      <c r="M4" s="1311" t="str">
        <f>+③基本情報入力【例】!AK12</f>
        <v>C町東浄化センター</v>
      </c>
      <c r="N4" s="1319" t="str">
        <f>+③基本情報入力【例】!AP12</f>
        <v>C町中部浄化センター</v>
      </c>
      <c r="O4" s="1311" t="str">
        <f>+③基本情報入力【例】!AU12</f>
        <v>その他処理場</v>
      </c>
      <c r="P4" s="1311" t="str">
        <f>+③基本情報入力【例】!L29</f>
        <v>A市・B町・C町</v>
      </c>
      <c r="Q4" s="1311" t="str">
        <f>+③基本情報入力【例】!Q29</f>
        <v>A市・B町・C町</v>
      </c>
      <c r="R4" s="1311" t="str">
        <f>+③基本情報入力【例】!V29</f>
        <v>A市・B町・C町</v>
      </c>
      <c r="S4" s="1311" t="str">
        <f>+③基本情報入力【例】!AA29</f>
        <v>A市・B町・C町</v>
      </c>
      <c r="T4" s="1311">
        <f>+③基本情報入力【例】!AF29</f>
        <v>0</v>
      </c>
      <c r="U4" s="1311">
        <f>+③基本情報入力【例】!AK29</f>
        <v>0</v>
      </c>
      <c r="V4" s="1319">
        <f>+③基本情報入力【例】!AP29</f>
        <v>0</v>
      </c>
      <c r="W4" s="1321">
        <f>+③基本情報入力【例】!AU29</f>
        <v>0</v>
      </c>
      <c r="X4" s="1323" t="s">
        <v>55</v>
      </c>
      <c r="Y4" s="1317" t="s">
        <v>25</v>
      </c>
    </row>
    <row r="5" spans="2:27">
      <c r="B5" s="1306"/>
      <c r="C5" s="1308"/>
      <c r="D5" s="1308"/>
      <c r="E5" s="1308"/>
      <c r="F5" s="1308"/>
      <c r="G5" s="1310"/>
      <c r="H5" s="1308"/>
      <c r="I5" s="1285"/>
      <c r="J5" s="1285"/>
      <c r="K5" s="1285"/>
      <c r="L5" s="1285"/>
      <c r="M5" s="1285"/>
      <c r="N5" s="1320"/>
      <c r="O5" s="1285"/>
      <c r="P5" s="1285"/>
      <c r="Q5" s="1285"/>
      <c r="R5" s="1285"/>
      <c r="S5" s="1285"/>
      <c r="T5" s="1285"/>
      <c r="U5" s="1285"/>
      <c r="V5" s="1320"/>
      <c r="W5" s="1322"/>
      <c r="X5" s="1324"/>
      <c r="Y5" s="1318"/>
    </row>
    <row r="6" spans="2:27" ht="13.5" customHeight="1">
      <c r="B6" s="1306"/>
      <c r="C6" s="1308"/>
      <c r="D6" s="1308"/>
      <c r="E6" s="1308"/>
      <c r="F6" s="1308"/>
      <c r="G6" s="1310"/>
      <c r="H6" s="1308"/>
      <c r="I6" s="1312" t="str">
        <f>③基本情報入力【例】!L13</f>
        <v>濃縮汚泥</v>
      </c>
      <c r="J6" s="1312" t="str">
        <f>+③基本情報入力【例】!V13</f>
        <v>脱水汚泥</v>
      </c>
      <c r="K6" s="1312" t="str">
        <f>+③基本情報入力【例】!AA13</f>
        <v>脱水汚泥</v>
      </c>
      <c r="L6" s="1312" t="str">
        <f>+③基本情報入力【例】!AF13</f>
        <v>脱水汚泥</v>
      </c>
      <c r="M6" s="1313" t="str">
        <f>+③基本情報入力【例】!AK13</f>
        <v>濃縮汚泥</v>
      </c>
      <c r="N6" s="1313" t="str">
        <f>+③基本情報入力【例】!AP13</f>
        <v>脱水汚泥</v>
      </c>
      <c r="O6" s="1312" t="str">
        <f>+③基本情報入力【例】!AU13</f>
        <v>濃縮汚泥</v>
      </c>
      <c r="P6" s="1312" t="str">
        <f>③基本情報入力【例】!L30</f>
        <v>し尿</v>
      </c>
      <c r="Q6" s="1312" t="str">
        <f>+③基本情報入力【例】!Q30</f>
        <v>浄化槽汚泥</v>
      </c>
      <c r="R6" s="1312" t="str">
        <f>+③基本情報入力【例】!V30</f>
        <v>集落排水汚泥</v>
      </c>
      <c r="S6" s="1312" t="str">
        <f>+③基本情報入力【例】!AA30</f>
        <v>生ごみ</v>
      </c>
      <c r="T6" s="1312">
        <f>+③基本情報入力【例】!AF30</f>
        <v>0</v>
      </c>
      <c r="U6" s="1312">
        <f>+③基本情報入力【例】!AK30</f>
        <v>0</v>
      </c>
      <c r="V6" s="1313">
        <f>+③基本情報入力【例】!AP30</f>
        <v>0</v>
      </c>
      <c r="W6" s="1315">
        <f>+③基本情報入力【例】!AU30</f>
        <v>0</v>
      </c>
      <c r="X6" s="1324"/>
      <c r="Y6" s="1318"/>
    </row>
    <row r="7" spans="2:27">
      <c r="B7" s="1306"/>
      <c r="C7" s="1308"/>
      <c r="D7" s="1308"/>
      <c r="E7" s="1308"/>
      <c r="F7" s="1308"/>
      <c r="G7" s="1310"/>
      <c r="H7" s="1308"/>
      <c r="I7" s="1312"/>
      <c r="J7" s="1312"/>
      <c r="K7" s="1312"/>
      <c r="L7" s="1312"/>
      <c r="M7" s="1314"/>
      <c r="N7" s="1314"/>
      <c r="O7" s="1312"/>
      <c r="P7" s="1312"/>
      <c r="Q7" s="1312"/>
      <c r="R7" s="1312"/>
      <c r="S7" s="1312"/>
      <c r="T7" s="1312"/>
      <c r="U7" s="1312"/>
      <c r="V7" s="1314"/>
      <c r="W7" s="1316"/>
      <c r="X7" s="1324"/>
      <c r="Y7" s="1318"/>
    </row>
    <row r="8" spans="2:27">
      <c r="B8" s="176" t="s">
        <v>390</v>
      </c>
      <c r="C8" s="1325" t="s">
        <v>70</v>
      </c>
      <c r="D8" s="1326" t="s">
        <v>56</v>
      </c>
      <c r="E8" s="1329" t="s">
        <v>57</v>
      </c>
      <c r="F8" s="422" t="s">
        <v>58</v>
      </c>
      <c r="G8" s="8" t="s">
        <v>50</v>
      </c>
      <c r="H8" s="212" t="s">
        <v>0</v>
      </c>
      <c r="I8" s="11">
        <f>+ROUND(③基本情報入力【例】!L14,2)</f>
        <v>30</v>
      </c>
      <c r="J8" s="11">
        <f>+ROUND(③基本情報入力【例】!V14,2)</f>
        <v>1</v>
      </c>
      <c r="K8" s="11">
        <f>+ROUND(③基本情報入力【例】!AA14,2)</f>
        <v>0.7</v>
      </c>
      <c r="L8" s="11">
        <f>+ROUND(③基本情報入力【例】!AF14,2)</f>
        <v>0.5</v>
      </c>
      <c r="M8" s="11">
        <f>+ROUND(③基本情報入力【例】!AK14,2)</f>
        <v>0.1</v>
      </c>
      <c r="N8" s="11">
        <f>+ROUND(③基本情報入力【例】!AP14,2)</f>
        <v>0.3</v>
      </c>
      <c r="O8" s="11">
        <f>+ROUND(③基本情報入力【例】!AU14,2)</f>
        <v>0.5</v>
      </c>
      <c r="P8" s="11">
        <f>+ROUND(③基本情報入力【例】!L31,2)</f>
        <v>3</v>
      </c>
      <c r="Q8" s="11">
        <f>+ROUND(③基本情報入力【例】!Q31,2)</f>
        <v>15</v>
      </c>
      <c r="R8" s="11">
        <f>+ROUND(③基本情報入力【例】!V31,2)</f>
        <v>5</v>
      </c>
      <c r="S8" s="11">
        <f>+ROUND(③基本情報入力【例】!AA31,2)</f>
        <v>4</v>
      </c>
      <c r="T8" s="11">
        <f>+ROUND(③基本情報入力【例】!AF31,2)</f>
        <v>0</v>
      </c>
      <c r="U8" s="11">
        <f>+ROUND(③基本情報入力【例】!AK31,2)</f>
        <v>0</v>
      </c>
      <c r="V8" s="11">
        <f>+ROUND(③基本情報入力【例】!AP31,2)</f>
        <v>0</v>
      </c>
      <c r="W8" s="211">
        <f>+ROUND(③基本情報入力【例】!AU31,2)</f>
        <v>0</v>
      </c>
      <c r="X8" s="10">
        <f t="shared" ref="X8:X13" si="0">+SUM(I8:V8)</f>
        <v>60.1</v>
      </c>
      <c r="Y8" s="13" t="s">
        <v>169</v>
      </c>
    </row>
    <row r="9" spans="2:27">
      <c r="B9" s="416" t="s">
        <v>391</v>
      </c>
      <c r="C9" s="1326"/>
      <c r="D9" s="1328"/>
      <c r="E9" s="1330"/>
      <c r="F9" s="418" t="s">
        <v>59</v>
      </c>
      <c r="G9" s="429" t="s">
        <v>65</v>
      </c>
      <c r="H9" s="392"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392</v>
      </c>
      <c r="C10" s="1326"/>
      <c r="D10" s="1331" t="s">
        <v>54</v>
      </c>
      <c r="E10" s="1332" t="s">
        <v>60</v>
      </c>
      <c r="F10" s="427" t="s">
        <v>61</v>
      </c>
      <c r="G10" s="274" t="s">
        <v>168</v>
      </c>
      <c r="H10" s="401" t="s">
        <v>0</v>
      </c>
      <c r="I10" s="275">
        <f>I8-I9</f>
        <v>30</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60.1</v>
      </c>
      <c r="Y10" s="276"/>
      <c r="Z10" s="277"/>
      <c r="AA10" s="278"/>
    </row>
    <row r="11" spans="2:27">
      <c r="B11" s="416" t="s">
        <v>393</v>
      </c>
      <c r="C11" s="1326"/>
      <c r="D11" s="1326"/>
      <c r="E11" s="1329"/>
      <c r="F11" s="418" t="s">
        <v>62</v>
      </c>
      <c r="G11" s="429" t="s">
        <v>66</v>
      </c>
      <c r="H11" s="392" t="s">
        <v>162</v>
      </c>
      <c r="I11" s="14">
        <f>ROUND(+I10*I15/100,2)</f>
        <v>0.45</v>
      </c>
      <c r="J11" s="14">
        <f>ROUND(+J10*J15/100,2)</f>
        <v>0.16</v>
      </c>
      <c r="K11" s="14">
        <f t="shared" ref="K11:W11" si="3">ROUND(+K10*K15/100,2)</f>
        <v>0.11</v>
      </c>
      <c r="L11" s="14">
        <f t="shared" si="3"/>
        <v>0.09</v>
      </c>
      <c r="M11" s="14">
        <f t="shared" si="3"/>
        <v>0</v>
      </c>
      <c r="N11" s="14">
        <f t="shared" si="3"/>
        <v>0.05</v>
      </c>
      <c r="O11" s="14">
        <f t="shared" si="3"/>
        <v>0.01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2.2999999999999998</v>
      </c>
      <c r="Y11" s="17"/>
    </row>
    <row r="12" spans="2:27">
      <c r="B12" s="416" t="s">
        <v>394</v>
      </c>
      <c r="C12" s="1326"/>
      <c r="D12" s="1326"/>
      <c r="E12" s="1329"/>
      <c r="F12" s="418" t="s">
        <v>63</v>
      </c>
      <c r="G12" s="19" t="s">
        <v>67</v>
      </c>
      <c r="H12" s="392" t="s">
        <v>69</v>
      </c>
      <c r="I12" s="14">
        <f>+I10-I11</f>
        <v>29.55</v>
      </c>
      <c r="J12" s="14">
        <f>+J10-J11</f>
        <v>0.84</v>
      </c>
      <c r="K12" s="14">
        <f t="shared" ref="K12:W12" si="4">+K10-K11</f>
        <v>0.59</v>
      </c>
      <c r="L12" s="14">
        <f t="shared" si="4"/>
        <v>0.41000000000000003</v>
      </c>
      <c r="M12" s="14">
        <f t="shared" si="4"/>
        <v>0.1</v>
      </c>
      <c r="N12" s="14">
        <f t="shared" si="4"/>
        <v>0.25</v>
      </c>
      <c r="O12" s="14">
        <f t="shared" si="4"/>
        <v>0.49</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57.800000000000011</v>
      </c>
      <c r="Y12" s="17"/>
    </row>
    <row r="13" spans="2:27" ht="15.75" customHeight="1" thickBot="1">
      <c r="B13" s="416" t="s">
        <v>395</v>
      </c>
      <c r="C13" s="1327"/>
      <c r="D13" s="1327"/>
      <c r="E13" s="1333"/>
      <c r="F13" s="192" t="s">
        <v>64</v>
      </c>
      <c r="G13" s="204" t="s">
        <v>68</v>
      </c>
      <c r="H13" s="392" t="s">
        <v>35</v>
      </c>
      <c r="I13" s="190">
        <f>ROUND(+I11*I16/100,2)</f>
        <v>0.36</v>
      </c>
      <c r="J13" s="190">
        <f>ROUND(+J11*J16/100,2)</f>
        <v>0.13</v>
      </c>
      <c r="K13" s="190">
        <f t="shared" ref="K13:W13" si="5">ROUND(+K11*K16/100,2)</f>
        <v>0.09</v>
      </c>
      <c r="L13" s="190">
        <f t="shared" si="5"/>
        <v>7.0000000000000007E-2</v>
      </c>
      <c r="M13" s="190">
        <f t="shared" si="5"/>
        <v>0</v>
      </c>
      <c r="N13" s="190">
        <f t="shared" si="5"/>
        <v>0.04</v>
      </c>
      <c r="O13" s="190">
        <f t="shared" si="5"/>
        <v>0.01</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1.9</v>
      </c>
      <c r="Y13" s="193"/>
    </row>
    <row r="14" spans="2:27" ht="13.5" customHeight="1">
      <c r="B14" s="262" t="s">
        <v>396</v>
      </c>
      <c r="C14" s="1334" t="s">
        <v>89</v>
      </c>
      <c r="D14" s="428" t="s">
        <v>56</v>
      </c>
      <c r="E14" s="421" t="s">
        <v>57</v>
      </c>
      <c r="F14" s="421" t="s">
        <v>71</v>
      </c>
      <c r="G14" s="183" t="s">
        <v>50</v>
      </c>
      <c r="H14" s="263" t="s">
        <v>53</v>
      </c>
      <c r="I14" s="42">
        <f>+ROUND(③基本情報入力【例】!L16,1)</f>
        <v>0</v>
      </c>
      <c r="J14" s="42">
        <f>+ROUND(③基本情報入力【例】!V16,1)</f>
        <v>0</v>
      </c>
      <c r="K14" s="42">
        <f>+ROUND(③基本情報入力【例】!AA16,1)</f>
        <v>0</v>
      </c>
      <c r="L14" s="42">
        <f>+ROUND(③基本情報入力【例】!AF16,1)</f>
        <v>0</v>
      </c>
      <c r="M14" s="42">
        <f>+ROUND(③基本情報入力【例】!AK16,1)</f>
        <v>0</v>
      </c>
      <c r="N14" s="42">
        <f>+ROUND(③基本情報入力【例】!AP16,1)</f>
        <v>0</v>
      </c>
      <c r="O14" s="42">
        <f>+ROUND(③基本情報入力【例】!AU16,1)</f>
        <v>0</v>
      </c>
      <c r="P14" s="42">
        <f>+ROUND(③基本情報入力【例】!L33,1)</f>
        <v>0</v>
      </c>
      <c r="Q14" s="42">
        <f>+ROUND(③基本情報入力【例】!Q33,1)</f>
        <v>0</v>
      </c>
      <c r="R14" s="42">
        <f>+ROUND(③基本情報入力【例】!V33,1)</f>
        <v>0</v>
      </c>
      <c r="S14" s="42">
        <f>+ROUND(③基本情報入力【例】!AA33,1)</f>
        <v>0</v>
      </c>
      <c r="T14" s="42">
        <f>+ROUND(③基本情報入力【例】!AF33,1)</f>
        <v>0</v>
      </c>
      <c r="U14" s="42">
        <f>+ROUND(③基本情報入力【例】!AK33,1)</f>
        <v>0</v>
      </c>
      <c r="V14" s="42">
        <f>+ROUND(③基本情報入力【例】!AP33,1)</f>
        <v>0</v>
      </c>
      <c r="W14" s="61">
        <f>+ROUND(③基本情報入力【例】!AU33,1)</f>
        <v>0</v>
      </c>
      <c r="X14" s="59">
        <f>+ROUND(X9/X8*100,1)</f>
        <v>0</v>
      </c>
      <c r="Y14" s="20"/>
    </row>
    <row r="15" spans="2:27" ht="13.5" customHeight="1">
      <c r="B15" s="416" t="s">
        <v>397</v>
      </c>
      <c r="C15" s="1325"/>
      <c r="D15" s="1331" t="s">
        <v>54</v>
      </c>
      <c r="E15" s="1336" t="s">
        <v>60</v>
      </c>
      <c r="F15" s="21" t="s">
        <v>51</v>
      </c>
      <c r="G15" s="170" t="s">
        <v>50</v>
      </c>
      <c r="H15" s="392" t="s">
        <v>53</v>
      </c>
      <c r="I15" s="43">
        <f>+ROUND(③基本情報入力【例】!L17,1)</f>
        <v>1.5</v>
      </c>
      <c r="J15" s="43">
        <f>+ROUND(③基本情報入力【例】!V17,1)</f>
        <v>16</v>
      </c>
      <c r="K15" s="43">
        <f>+ROUND(③基本情報入力【例】!AA17,1)</f>
        <v>16</v>
      </c>
      <c r="L15" s="43">
        <f>+ROUND(③基本情報入力【例】!AF17,1)</f>
        <v>17</v>
      </c>
      <c r="M15" s="43">
        <f>+ROUND(③基本情報入力【例】!AK17,1)</f>
        <v>1.5</v>
      </c>
      <c r="N15" s="43">
        <f>+ROUND(③基本情報入力【例】!AP17,1)</f>
        <v>16</v>
      </c>
      <c r="O15" s="43">
        <f>+ROUND(③基本情報入力【例】!AU17,1)</f>
        <v>1.1000000000000001</v>
      </c>
      <c r="P15" s="43">
        <f>+ROUND(③基本情報入力【例】!L34,1)</f>
        <v>2.4</v>
      </c>
      <c r="Q15" s="43">
        <f>+ROUND(③基本情報入力【例】!Q34,1)</f>
        <v>1.3</v>
      </c>
      <c r="R15" s="43">
        <f>+ROUND(③基本情報入力【例】!V34,1)</f>
        <v>2.2999999999999998</v>
      </c>
      <c r="S15" s="43">
        <f>+ROUND(③基本情報入力【例】!AA34,1)</f>
        <v>25.9</v>
      </c>
      <c r="T15" s="43">
        <f>+ROUND(③基本情報入力【例】!AF34,1)</f>
        <v>0</v>
      </c>
      <c r="U15" s="43">
        <f>+ROUND(③基本情報入力【例】!AK34,1)</f>
        <v>0</v>
      </c>
      <c r="V15" s="43">
        <f>+ROUND(③基本情報入力【例】!AP34,1)</f>
        <v>0</v>
      </c>
      <c r="W15" s="62">
        <f>+ROUND(③基本情報入力【例】!AU34,1)</f>
        <v>0</v>
      </c>
      <c r="X15" s="26">
        <f>IF(X10=0,0,ROUND(+X11/X10*100,1))</f>
        <v>3.8</v>
      </c>
      <c r="Y15" s="40"/>
    </row>
    <row r="16" spans="2:27">
      <c r="B16" s="416" t="s">
        <v>398</v>
      </c>
      <c r="C16" s="1325"/>
      <c r="D16" s="1325"/>
      <c r="E16" s="1336"/>
      <c r="F16" s="21" t="s">
        <v>52</v>
      </c>
      <c r="G16" s="170" t="s">
        <v>50</v>
      </c>
      <c r="H16" s="392" t="s">
        <v>91</v>
      </c>
      <c r="I16" s="43">
        <f>+ROUND(③基本情報入力【例】!L18,1)</f>
        <v>80.7</v>
      </c>
      <c r="J16" s="43">
        <f>+ROUND(③基本情報入力【例】!V18,1)</f>
        <v>80.7</v>
      </c>
      <c r="K16" s="43">
        <f>+ROUND(③基本情報入力【例】!AA18,1)</f>
        <v>80.7</v>
      </c>
      <c r="L16" s="43">
        <f>+ROUND(③基本情報入力【例】!AF18,1)</f>
        <v>80.7</v>
      </c>
      <c r="M16" s="43">
        <f>+ROUND(③基本情報入力【例】!AK18,1)</f>
        <v>80.7</v>
      </c>
      <c r="N16" s="43">
        <f>+ROUND(③基本情報入力【例】!AP18,1)</f>
        <v>80.7</v>
      </c>
      <c r="O16" s="43">
        <f>+ROUND(③基本情報入力【例】!AU18,1)</f>
        <v>80.7</v>
      </c>
      <c r="P16" s="43">
        <f>+ROUND(③基本情報入力【例】!L35,1)</f>
        <v>55.6</v>
      </c>
      <c r="Q16" s="43">
        <f>+ROUND(③基本情報入力【例】!Q35,1)</f>
        <v>78.599999999999994</v>
      </c>
      <c r="R16" s="43">
        <f>+ROUND(③基本情報入力【例】!V35,1)</f>
        <v>73.599999999999994</v>
      </c>
      <c r="S16" s="43">
        <f>+ROUND(③基本情報入力【例】!AA35,1)</f>
        <v>87.9</v>
      </c>
      <c r="T16" s="43">
        <f>+ROUND(③基本情報入力【例】!AF35,1)</f>
        <v>0</v>
      </c>
      <c r="U16" s="43">
        <f>+ROUND(③基本情報入力【例】!AK35,1)</f>
        <v>0</v>
      </c>
      <c r="V16" s="43">
        <f>+ROUND(③基本情報入力【例】!AP35,1)</f>
        <v>0</v>
      </c>
      <c r="W16" s="62">
        <f>+ROUND(③基本情報入力【例】!AU35,1)</f>
        <v>0</v>
      </c>
      <c r="X16" s="26">
        <f>+ROUND(X13/X11*100,1)</f>
        <v>82.6</v>
      </c>
      <c r="Y16" s="22"/>
    </row>
    <row r="17" spans="2:28">
      <c r="B17" s="416" t="s">
        <v>399</v>
      </c>
      <c r="C17" s="1325"/>
      <c r="D17" s="1325"/>
      <c r="E17" s="1336" t="s">
        <v>72</v>
      </c>
      <c r="F17" s="21" t="s">
        <v>73</v>
      </c>
      <c r="G17" s="170" t="s">
        <v>50</v>
      </c>
      <c r="H17" s="392" t="s">
        <v>53</v>
      </c>
      <c r="I17" s="267">
        <f>+ROUND(③基本情報入力【例】!L19,1)</f>
        <v>30</v>
      </c>
      <c r="J17" s="43">
        <f>+ROUND(③基本情報入力【例】!V19,1)</f>
        <v>30</v>
      </c>
      <c r="K17" s="43">
        <f>+ROUND(③基本情報入力【例】!AA19,1)</f>
        <v>30</v>
      </c>
      <c r="L17" s="43">
        <f>+ROUND(③基本情報入力【例】!AF19,1)</f>
        <v>30</v>
      </c>
      <c r="M17" s="43">
        <f>+ROUND(③基本情報入力【例】!AK19,1)</f>
        <v>30</v>
      </c>
      <c r="N17" s="43">
        <f>+ROUND(③基本情報入力【例】!AP19,1)</f>
        <v>30</v>
      </c>
      <c r="O17" s="43">
        <f>+ROUND(③基本情報入力【例】!AU19,1)</f>
        <v>30</v>
      </c>
      <c r="P17" s="43">
        <f>+ROUND(③基本情報入力【例】!L36,1)</f>
        <v>46</v>
      </c>
      <c r="Q17" s="43">
        <f>+ROUND(③基本情報入力【例】!Q36,1)</f>
        <v>46</v>
      </c>
      <c r="R17" s="43">
        <f>+ROUND(③基本情報入力【例】!V36,1)</f>
        <v>46</v>
      </c>
      <c r="S17" s="43">
        <f>+ROUND(③基本情報入力【例】!AA36,1)</f>
        <v>78</v>
      </c>
      <c r="T17" s="43">
        <f>+ROUND(③基本情報入力【例】!AF36,1)</f>
        <v>0</v>
      </c>
      <c r="U17" s="43">
        <f>+ROUND(③基本情報入力【例】!AK36,1)</f>
        <v>0</v>
      </c>
      <c r="V17" s="43">
        <f>+ROUND(③基本情報入力【例】!AP36,1)</f>
        <v>0</v>
      </c>
      <c r="W17" s="62">
        <f>+ROUND(③基本情報入力【例】!AU36,1)</f>
        <v>0</v>
      </c>
      <c r="X17" s="26">
        <f>+ROUND(X30/X13*100,1)</f>
        <v>55.3</v>
      </c>
      <c r="Y17" s="22"/>
    </row>
    <row r="18" spans="2:28" ht="15.75">
      <c r="B18" s="416" t="s">
        <v>400</v>
      </c>
      <c r="C18" s="1325"/>
      <c r="D18" s="1325"/>
      <c r="E18" s="1336"/>
      <c r="F18" s="21" t="s">
        <v>74</v>
      </c>
      <c r="G18" s="170" t="s">
        <v>50</v>
      </c>
      <c r="H18" s="392" t="s">
        <v>423</v>
      </c>
      <c r="I18" s="43">
        <f>+ROUND(③基本情報入力【例】!L20,1)</f>
        <v>0.6</v>
      </c>
      <c r="J18" s="43">
        <f>+ROUND(③基本情報入力【例】!V20,1)</f>
        <v>0.6</v>
      </c>
      <c r="K18" s="43">
        <f>+ROUND(③基本情報入力【例】!AA20,1)</f>
        <v>0.6</v>
      </c>
      <c r="L18" s="43">
        <f>+ROUND(③基本情報入力【例】!AF20,1)</f>
        <v>0.6</v>
      </c>
      <c r="M18" s="43">
        <f>+ROUND(③基本情報入力【例】!AK20,1)</f>
        <v>0.6</v>
      </c>
      <c r="N18" s="43">
        <f>+ROUND(③基本情報入力【例】!AP20,1)</f>
        <v>0.6</v>
      </c>
      <c r="O18" s="43">
        <f>+ROUND(③基本情報入力【例】!AU20,1)</f>
        <v>0.6</v>
      </c>
      <c r="P18" s="43">
        <f>+ROUND(③基本情報入力【例】!L37,1)</f>
        <v>0.8</v>
      </c>
      <c r="Q18" s="43">
        <f>+ROUND(③基本情報入力【例】!Q37,1)</f>
        <v>0.8</v>
      </c>
      <c r="R18" s="43">
        <f>+ROUND(③基本情報入力【例】!V37,1)</f>
        <v>0.8</v>
      </c>
      <c r="S18" s="43">
        <f>+ROUND(③基本情報入力【例】!AA37,1)</f>
        <v>0.9</v>
      </c>
      <c r="T18" s="43">
        <f>+ROUND(③基本情報入力【例】!AF37,1)</f>
        <v>0</v>
      </c>
      <c r="U18" s="43">
        <f>+ROUND(③基本情報入力【例】!AK37,1)</f>
        <v>0</v>
      </c>
      <c r="V18" s="43">
        <f>+ROUND(③基本情報入力【例】!AP37,1)</f>
        <v>0</v>
      </c>
      <c r="W18" s="62">
        <f>+ROUND(③基本情報入力【例】!AU37,1)</f>
        <v>0</v>
      </c>
      <c r="X18" s="26">
        <f>+ROUND(X33/X30/1000,2)</f>
        <v>0.83</v>
      </c>
      <c r="Y18" s="22"/>
    </row>
    <row r="19" spans="2:28" ht="15.75">
      <c r="B19" s="416" t="s">
        <v>401</v>
      </c>
      <c r="C19" s="1325"/>
      <c r="D19" s="1325"/>
      <c r="E19" s="1336"/>
      <c r="F19" s="23" t="s">
        <v>75</v>
      </c>
      <c r="G19" s="170" t="s">
        <v>79</v>
      </c>
      <c r="H19" s="392" t="s">
        <v>221</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f>+③基本情報入力【例】!J76</f>
        <v>35739</v>
      </c>
      <c r="Y19" s="1353" t="s">
        <v>579</v>
      </c>
    </row>
    <row r="20" spans="2:28">
      <c r="B20" s="416" t="s">
        <v>402</v>
      </c>
      <c r="C20" s="1325"/>
      <c r="D20" s="1325"/>
      <c r="E20" s="1336"/>
      <c r="F20" s="21" t="s">
        <v>76</v>
      </c>
      <c r="G20" s="170" t="s">
        <v>50</v>
      </c>
      <c r="H20" s="392"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f>+③基本情報入力【例】!J75</f>
        <v>60</v>
      </c>
      <c r="Y20" s="1354"/>
      <c r="AB20" s="24"/>
    </row>
    <row r="21" spans="2:28" ht="15.75">
      <c r="B21" s="416" t="s">
        <v>403</v>
      </c>
      <c r="C21" s="1325"/>
      <c r="D21" s="1325"/>
      <c r="E21" s="1336"/>
      <c r="F21" s="21" t="s">
        <v>77</v>
      </c>
      <c r="G21" s="182" t="s">
        <v>374</v>
      </c>
      <c r="H21" s="392" t="s">
        <v>221</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54"/>
    </row>
    <row r="22" spans="2:28">
      <c r="B22" s="416" t="s">
        <v>404</v>
      </c>
      <c r="C22" s="1325"/>
      <c r="D22" s="1325"/>
      <c r="E22" s="1376" t="s">
        <v>106</v>
      </c>
      <c r="F22" s="27" t="s">
        <v>104</v>
      </c>
      <c r="G22" s="170" t="s">
        <v>50</v>
      </c>
      <c r="H22" s="392"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f>+③基本情報入力【例】!J73</f>
        <v>35</v>
      </c>
      <c r="Y22" s="1354"/>
    </row>
    <row r="23" spans="2:28">
      <c r="B23" s="416" t="s">
        <v>405</v>
      </c>
      <c r="C23" s="1325"/>
      <c r="D23" s="1325"/>
      <c r="E23" s="1376"/>
      <c r="F23" s="27" t="s">
        <v>105</v>
      </c>
      <c r="G23" s="170" t="s">
        <v>50</v>
      </c>
      <c r="H23" s="392"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f>+③基本情報入力【例】!J74</f>
        <v>10</v>
      </c>
      <c r="Y23" s="1354"/>
    </row>
    <row r="24" spans="2:28">
      <c r="B24" s="416" t="s">
        <v>406</v>
      </c>
      <c r="C24" s="1325"/>
      <c r="D24" s="1347" t="s">
        <v>353</v>
      </c>
      <c r="E24" s="1344" t="s">
        <v>223</v>
      </c>
      <c r="F24" s="1345"/>
      <c r="G24" s="170" t="s">
        <v>50</v>
      </c>
      <c r="H24" s="392"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f>+③基本情報入力【例】!J67</f>
        <v>35</v>
      </c>
      <c r="Y24" s="1354"/>
    </row>
    <row r="25" spans="2:28">
      <c r="B25" s="416" t="s">
        <v>407</v>
      </c>
      <c r="C25" s="1325"/>
      <c r="D25" s="1348"/>
      <c r="E25" s="1344" t="s">
        <v>224</v>
      </c>
      <c r="F25" s="1345"/>
      <c r="G25" s="170" t="s">
        <v>50</v>
      </c>
      <c r="H25" s="392" t="s">
        <v>217</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f>+③基本情報入力【例】!J68</f>
        <v>0.93</v>
      </c>
      <c r="Y25" s="1354"/>
    </row>
    <row r="26" spans="2:28">
      <c r="B26" s="188" t="s">
        <v>408</v>
      </c>
      <c r="C26" s="1325"/>
      <c r="D26" s="1349"/>
      <c r="E26" s="168" t="s">
        <v>225</v>
      </c>
      <c r="F26" s="169"/>
      <c r="G26" s="170" t="s">
        <v>50</v>
      </c>
      <c r="H26" s="392"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f>+③基本情報入力【例】!J69</f>
        <v>50</v>
      </c>
      <c r="Y26" s="1354"/>
    </row>
    <row r="27" spans="2:28">
      <c r="B27" s="416" t="s">
        <v>409</v>
      </c>
      <c r="C27" s="1325"/>
      <c r="D27" s="420" t="s">
        <v>30</v>
      </c>
      <c r="E27" s="1377" t="s">
        <v>78</v>
      </c>
      <c r="F27" s="1378"/>
      <c r="G27" s="170" t="s">
        <v>50</v>
      </c>
      <c r="H27" s="392"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f>+③基本情報入力【例】!J80</f>
        <v>85</v>
      </c>
      <c r="Y27" s="1354"/>
    </row>
    <row r="28" spans="2:28">
      <c r="B28" s="416" t="s">
        <v>410</v>
      </c>
      <c r="C28" s="1325"/>
      <c r="D28" s="1350" t="s">
        <v>101</v>
      </c>
      <c r="E28" s="423" t="s">
        <v>102</v>
      </c>
      <c r="F28" s="424"/>
      <c r="G28" s="170" t="s">
        <v>50</v>
      </c>
      <c r="H28" s="392"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f>+③基本情報入力【例】!J81</f>
        <v>25</v>
      </c>
      <c r="Y28" s="1354"/>
    </row>
    <row r="29" spans="2:28" ht="14.25" thickBot="1">
      <c r="B29" s="194" t="s">
        <v>411</v>
      </c>
      <c r="C29" s="1335"/>
      <c r="D29" s="1327"/>
      <c r="E29" s="28" t="s">
        <v>103</v>
      </c>
      <c r="F29" s="29"/>
      <c r="G29" s="178" t="s">
        <v>50</v>
      </c>
      <c r="H29" s="304"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f>+③基本情報入力【例】!J82</f>
        <v>15</v>
      </c>
      <c r="Y29" s="1355"/>
    </row>
    <row r="30" spans="2:28">
      <c r="B30" s="262" t="s">
        <v>113</v>
      </c>
      <c r="C30" s="1334" t="s">
        <v>88</v>
      </c>
      <c r="D30" s="1334" t="s">
        <v>54</v>
      </c>
      <c r="E30" s="1352" t="s">
        <v>80</v>
      </c>
      <c r="F30" s="1352"/>
      <c r="G30" s="184" t="s">
        <v>375</v>
      </c>
      <c r="H30" s="263" t="s">
        <v>35</v>
      </c>
      <c r="I30" s="9">
        <f>ROUND(+I13*I17/100,2)</f>
        <v>0.11</v>
      </c>
      <c r="J30" s="9">
        <f>ROUND(+J13*J17/100,2)</f>
        <v>0.04</v>
      </c>
      <c r="K30" s="9">
        <f t="shared" ref="K30:W30" si="19">ROUND(+K13*K17/100,2)</f>
        <v>0.03</v>
      </c>
      <c r="L30" s="9">
        <f t="shared" si="19"/>
        <v>0.02</v>
      </c>
      <c r="M30" s="9">
        <f t="shared" si="19"/>
        <v>0</v>
      </c>
      <c r="N30" s="9">
        <f t="shared" si="19"/>
        <v>0.01</v>
      </c>
      <c r="O30" s="9">
        <f t="shared" si="19"/>
        <v>0</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1.0499999999999998</v>
      </c>
      <c r="Y30" s="20"/>
    </row>
    <row r="31" spans="2:28">
      <c r="B31" s="176" t="s">
        <v>114</v>
      </c>
      <c r="C31" s="1325"/>
      <c r="D31" s="1325"/>
      <c r="E31" s="1336" t="s">
        <v>81</v>
      </c>
      <c r="F31" s="418" t="s">
        <v>64</v>
      </c>
      <c r="G31" s="170" t="s">
        <v>376</v>
      </c>
      <c r="H31" s="392" t="s">
        <v>35</v>
      </c>
      <c r="I31" s="14">
        <f>+I13-I30</f>
        <v>0.25</v>
      </c>
      <c r="J31" s="14">
        <f>+J13-J30</f>
        <v>0.09</v>
      </c>
      <c r="K31" s="14">
        <f t="shared" ref="K31:W31" si="21">+K13-K30</f>
        <v>0.06</v>
      </c>
      <c r="L31" s="14">
        <f t="shared" si="21"/>
        <v>0.05</v>
      </c>
      <c r="M31" s="14">
        <f t="shared" si="21"/>
        <v>0</v>
      </c>
      <c r="N31" s="14">
        <f t="shared" si="21"/>
        <v>0.03</v>
      </c>
      <c r="O31" s="14">
        <f t="shared" si="21"/>
        <v>0.01</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0.85000000000000009</v>
      </c>
      <c r="Y31" s="17"/>
    </row>
    <row r="32" spans="2:28">
      <c r="B32" s="416" t="s">
        <v>115</v>
      </c>
      <c r="C32" s="1325"/>
      <c r="D32" s="1325"/>
      <c r="E32" s="1336"/>
      <c r="F32" s="418" t="s">
        <v>62</v>
      </c>
      <c r="G32" s="170" t="s">
        <v>377</v>
      </c>
      <c r="H32" s="392" t="s">
        <v>162</v>
      </c>
      <c r="I32" s="14">
        <f>+I11-I30</f>
        <v>0.34</v>
      </c>
      <c r="J32" s="14">
        <f>+J11-J30</f>
        <v>0.12</v>
      </c>
      <c r="K32" s="14">
        <f t="shared" ref="K32:W32" si="22">+K11-K30</f>
        <v>0.08</v>
      </c>
      <c r="L32" s="14">
        <f t="shared" si="22"/>
        <v>6.9999999999999993E-2</v>
      </c>
      <c r="M32" s="14">
        <f t="shared" si="22"/>
        <v>0</v>
      </c>
      <c r="N32" s="14">
        <f t="shared" si="22"/>
        <v>0.04</v>
      </c>
      <c r="O32" s="14">
        <f t="shared" si="22"/>
        <v>0.01</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1.25</v>
      </c>
      <c r="Y32" s="17"/>
    </row>
    <row r="33" spans="2:25" s="279" customFormat="1" ht="13.5" customHeight="1">
      <c r="B33" s="273" t="s">
        <v>116</v>
      </c>
      <c r="C33" s="1325"/>
      <c r="D33" s="1325"/>
      <c r="E33" s="1336" t="s">
        <v>72</v>
      </c>
      <c r="F33" s="427" t="s">
        <v>82</v>
      </c>
      <c r="G33" s="280" t="s">
        <v>378</v>
      </c>
      <c r="H33" s="401" t="s">
        <v>424</v>
      </c>
      <c r="I33" s="275">
        <f>ROUND(+I30*I18*1000,2)</f>
        <v>66</v>
      </c>
      <c r="J33" s="275">
        <f>ROUND(+J30*J18*1000,2)</f>
        <v>24</v>
      </c>
      <c r="K33" s="275">
        <f t="shared" ref="K33:W33" si="23">ROUND(+K30*K18*1000,2)</f>
        <v>18</v>
      </c>
      <c r="L33" s="275">
        <f t="shared" si="23"/>
        <v>12</v>
      </c>
      <c r="M33" s="275">
        <f t="shared" si="23"/>
        <v>0</v>
      </c>
      <c r="N33" s="275">
        <f t="shared" si="23"/>
        <v>6</v>
      </c>
      <c r="O33" s="275">
        <f t="shared" si="23"/>
        <v>0</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281">
        <f>+SUM(I33:V33)</f>
        <v>869</v>
      </c>
      <c r="Y33" s="276"/>
    </row>
    <row r="34" spans="2:25">
      <c r="B34" s="416" t="s">
        <v>117</v>
      </c>
      <c r="C34" s="1325"/>
      <c r="D34" s="1325"/>
      <c r="E34" s="1336"/>
      <c r="F34" s="418" t="s">
        <v>83</v>
      </c>
      <c r="G34" s="170" t="s">
        <v>379</v>
      </c>
      <c r="H34" s="392" t="s">
        <v>90</v>
      </c>
      <c r="I34" s="14">
        <f>ROUND(+I21*I33/1000,2)</f>
        <v>1415.26</v>
      </c>
      <c r="J34" s="14">
        <f>ROUND(+J21*J33/1000,2)</f>
        <v>514.64</v>
      </c>
      <c r="K34" s="14">
        <f t="shared" ref="K34:W34" si="24">ROUND(+K21*K33/1000,2)</f>
        <v>385.98</v>
      </c>
      <c r="L34" s="14">
        <f t="shared" si="24"/>
        <v>257.32</v>
      </c>
      <c r="M34" s="14">
        <f t="shared" si="24"/>
        <v>0</v>
      </c>
      <c r="N34" s="14">
        <f t="shared" si="24"/>
        <v>128.66</v>
      </c>
      <c r="O34" s="14">
        <f t="shared" si="24"/>
        <v>0</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15">
        <f t="shared" si="20"/>
        <v>18634.300000000003</v>
      </c>
      <c r="Y34" s="17"/>
    </row>
    <row r="35" spans="2:25">
      <c r="B35" s="416" t="s">
        <v>319</v>
      </c>
      <c r="C35" s="1325"/>
      <c r="D35" s="1351"/>
      <c r="E35" s="418" t="s">
        <v>106</v>
      </c>
      <c r="F35" s="418" t="s">
        <v>108</v>
      </c>
      <c r="G35" s="170" t="s">
        <v>380</v>
      </c>
      <c r="H35" s="392" t="s">
        <v>90</v>
      </c>
      <c r="I35" s="14">
        <f>+ROUND(I10*(I22-I23)*4.186,2)</f>
        <v>3139.5</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15">
        <f t="shared" si="20"/>
        <v>6289.49</v>
      </c>
      <c r="Y35" s="17" t="s">
        <v>119</v>
      </c>
    </row>
    <row r="36" spans="2:25">
      <c r="B36" s="416" t="s">
        <v>320</v>
      </c>
      <c r="C36" s="1325"/>
      <c r="D36" s="1347" t="s">
        <v>354</v>
      </c>
      <c r="E36" s="1356" t="s">
        <v>355</v>
      </c>
      <c r="F36" s="1356"/>
      <c r="G36" s="170" t="s">
        <v>356</v>
      </c>
      <c r="H36" s="392" t="s">
        <v>357</v>
      </c>
      <c r="I36" s="187">
        <f>ROUND(+I34*I24/100/3.6,2)</f>
        <v>137.59</v>
      </c>
      <c r="J36" s="187">
        <f t="shared" ref="J36:W36" si="26">ROUND(+J34*J24/100/3.6,2)</f>
        <v>50.03</v>
      </c>
      <c r="K36" s="187">
        <f t="shared" si="26"/>
        <v>37.53</v>
      </c>
      <c r="L36" s="187">
        <f t="shared" si="26"/>
        <v>25.02</v>
      </c>
      <c r="M36" s="187">
        <f t="shared" si="26"/>
        <v>0</v>
      </c>
      <c r="N36" s="187">
        <f t="shared" si="26"/>
        <v>12.51</v>
      </c>
      <c r="O36" s="187">
        <f t="shared" si="26"/>
        <v>0</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15">
        <f>SUM(I36:W36)</f>
        <v>1811.67</v>
      </c>
      <c r="Y36" s="196" t="s">
        <v>412</v>
      </c>
    </row>
    <row r="37" spans="2:25">
      <c r="B37" s="416" t="s">
        <v>321</v>
      </c>
      <c r="C37" s="1325"/>
      <c r="D37" s="1348"/>
      <c r="E37" s="1356" t="s">
        <v>358</v>
      </c>
      <c r="F37" s="1356"/>
      <c r="G37" s="170" t="s">
        <v>359</v>
      </c>
      <c r="H37" s="392" t="s">
        <v>357</v>
      </c>
      <c r="I37" s="187">
        <f>ROUND(+I36*I25,2)</f>
        <v>127.96</v>
      </c>
      <c r="J37" s="187">
        <f t="shared" ref="J37:W37" si="27">ROUND(+J36*J25,2)</f>
        <v>46.53</v>
      </c>
      <c r="K37" s="187">
        <f t="shared" si="27"/>
        <v>34.9</v>
      </c>
      <c r="L37" s="187">
        <f t="shared" si="27"/>
        <v>23.27</v>
      </c>
      <c r="M37" s="187">
        <f t="shared" si="27"/>
        <v>0</v>
      </c>
      <c r="N37" s="187">
        <f t="shared" si="27"/>
        <v>11.63</v>
      </c>
      <c r="O37" s="187">
        <f t="shared" si="27"/>
        <v>0</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15">
        <f>SUM(I37:W37)</f>
        <v>1684.8500000000001</v>
      </c>
      <c r="Y37" s="1342"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16" t="s">
        <v>322</v>
      </c>
      <c r="C38" s="1325"/>
      <c r="D38" s="1349"/>
      <c r="E38" s="1344" t="s">
        <v>360</v>
      </c>
      <c r="F38" s="1345"/>
      <c r="G38" s="170" t="s">
        <v>361</v>
      </c>
      <c r="H38" s="392" t="s">
        <v>90</v>
      </c>
      <c r="I38" s="187">
        <f>+ROUND(I34*I26/100,2)</f>
        <v>707.63</v>
      </c>
      <c r="J38" s="187">
        <f t="shared" ref="J38:W38" si="28">+ROUND(J34*J26/100,2)</f>
        <v>257.32</v>
      </c>
      <c r="K38" s="187">
        <f t="shared" si="28"/>
        <v>192.99</v>
      </c>
      <c r="L38" s="187">
        <f t="shared" si="28"/>
        <v>128.66</v>
      </c>
      <c r="M38" s="187">
        <f t="shared" si="28"/>
        <v>0</v>
      </c>
      <c r="N38" s="187">
        <f t="shared" si="28"/>
        <v>64.33</v>
      </c>
      <c r="O38" s="187">
        <f t="shared" si="28"/>
        <v>0</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15">
        <f>SUM(I38:W39)</f>
        <v>9377.27</v>
      </c>
      <c r="Y38" s="1343"/>
    </row>
    <row r="39" spans="2:25">
      <c r="B39" s="416" t="s">
        <v>323</v>
      </c>
      <c r="C39" s="1325"/>
      <c r="D39" s="1308" t="s">
        <v>30</v>
      </c>
      <c r="E39" s="1336" t="s">
        <v>29</v>
      </c>
      <c r="F39" s="1336"/>
      <c r="G39" s="170" t="str">
        <f>"=c"</f>
        <v>=c</v>
      </c>
      <c r="H39" s="392" t="s">
        <v>0</v>
      </c>
      <c r="I39" s="14">
        <f>+I10</f>
        <v>30</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15">
        <f t="shared" si="20"/>
        <v>60.1</v>
      </c>
      <c r="Y39" s="259"/>
    </row>
    <row r="40" spans="2:25">
      <c r="B40" s="416" t="s">
        <v>324</v>
      </c>
      <c r="C40" s="1325"/>
      <c r="D40" s="1308"/>
      <c r="E40" s="1336" t="s">
        <v>84</v>
      </c>
      <c r="F40" s="1336"/>
      <c r="G40" s="170" t="s">
        <v>381</v>
      </c>
      <c r="H40" s="392" t="s">
        <v>53</v>
      </c>
      <c r="I40" s="14">
        <f>IF(I39=0,0,ROUND(+I32/I39*100,2))</f>
        <v>1.1299999999999999</v>
      </c>
      <c r="J40" s="14">
        <f>IF(J39=0,0,ROUND(+J32/J39*100,2))</f>
        <v>12</v>
      </c>
      <c r="K40" s="14">
        <f t="shared" ref="K40:W40" si="30">IF(K39=0,0,ROUND(+K32/K39*100,2))</f>
        <v>11.43</v>
      </c>
      <c r="L40" s="14">
        <f t="shared" si="30"/>
        <v>14</v>
      </c>
      <c r="M40" s="14">
        <f t="shared" si="30"/>
        <v>0</v>
      </c>
      <c r="N40" s="14">
        <f t="shared" si="30"/>
        <v>13.33</v>
      </c>
      <c r="O40" s="14">
        <f t="shared" si="30"/>
        <v>2</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15">
        <f>IF(X39=0,0,ROUND(+X32/X39*100,2))</f>
        <v>2.08</v>
      </c>
      <c r="Y40" s="259"/>
    </row>
    <row r="41" spans="2:25" s="279" customFormat="1">
      <c r="B41" s="273" t="s">
        <v>325</v>
      </c>
      <c r="C41" s="1325"/>
      <c r="D41" s="1308"/>
      <c r="E41" s="1346" t="s">
        <v>85</v>
      </c>
      <c r="F41" s="1346"/>
      <c r="G41" s="280" t="s">
        <v>382</v>
      </c>
      <c r="H41" s="401" t="s">
        <v>0</v>
      </c>
      <c r="I41" s="275">
        <f>ROUND(+I32/(1-I27/100),2)</f>
        <v>2.27</v>
      </c>
      <c r="J41" s="275">
        <f>ROUND(+J32/(1-J27/100),2)</f>
        <v>0.8</v>
      </c>
      <c r="K41" s="275">
        <f t="shared" ref="K41:W41" si="31">ROUND(+K32/(1-K27/100),2)</f>
        <v>0.53</v>
      </c>
      <c r="L41" s="275">
        <f t="shared" si="31"/>
        <v>0.47</v>
      </c>
      <c r="M41" s="275">
        <f t="shared" si="31"/>
        <v>0</v>
      </c>
      <c r="N41" s="275">
        <f t="shared" si="31"/>
        <v>0.27</v>
      </c>
      <c r="O41" s="275">
        <f t="shared" si="31"/>
        <v>7.0000000000000007E-2</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281">
        <f t="shared" ref="X41:X47" si="32">+SUM(I41:V41)</f>
        <v>8.34</v>
      </c>
      <c r="Y41" s="282"/>
    </row>
    <row r="42" spans="2:25">
      <c r="B42" s="416" t="s">
        <v>326</v>
      </c>
      <c r="C42" s="1325"/>
      <c r="D42" s="1308"/>
      <c r="E42" s="1336" t="s">
        <v>86</v>
      </c>
      <c r="F42" s="1336"/>
      <c r="G42" s="170" t="str">
        <f>"=③"</f>
        <v>=③</v>
      </c>
      <c r="H42" s="392" t="s">
        <v>38</v>
      </c>
      <c r="I42" s="14">
        <f>+I32</f>
        <v>0.34</v>
      </c>
      <c r="J42" s="14">
        <f>+J32</f>
        <v>0.12</v>
      </c>
      <c r="K42" s="14">
        <f t="shared" ref="K42:W42" si="33">+K32</f>
        <v>0.08</v>
      </c>
      <c r="L42" s="14">
        <f t="shared" si="33"/>
        <v>6.9999999999999993E-2</v>
      </c>
      <c r="M42" s="14">
        <f t="shared" si="33"/>
        <v>0</v>
      </c>
      <c r="N42" s="14">
        <f t="shared" si="33"/>
        <v>0.04</v>
      </c>
      <c r="O42" s="14">
        <f t="shared" si="33"/>
        <v>0.01</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15">
        <f t="shared" si="32"/>
        <v>1.25</v>
      </c>
      <c r="Y42" s="259"/>
    </row>
    <row r="43" spans="2:25" ht="15.75">
      <c r="B43" s="416" t="s">
        <v>327</v>
      </c>
      <c r="C43" s="1325"/>
      <c r="D43" s="1308"/>
      <c r="E43" s="1336" t="s">
        <v>87</v>
      </c>
      <c r="F43" s="1336"/>
      <c r="G43" s="185" t="s">
        <v>383</v>
      </c>
      <c r="H43" s="303" t="s">
        <v>243</v>
      </c>
      <c r="I43" s="51">
        <f>+I10-I41</f>
        <v>27.73</v>
      </c>
      <c r="J43" s="51">
        <f>+J10-J41</f>
        <v>0.19999999999999996</v>
      </c>
      <c r="K43" s="51">
        <f t="shared" ref="K43:W43" si="34">+K10-K41</f>
        <v>0.16999999999999993</v>
      </c>
      <c r="L43" s="51">
        <f t="shared" si="34"/>
        <v>3.0000000000000027E-2</v>
      </c>
      <c r="M43" s="51">
        <f t="shared" si="34"/>
        <v>0.1</v>
      </c>
      <c r="N43" s="51">
        <f t="shared" si="34"/>
        <v>2.9999999999999971E-2</v>
      </c>
      <c r="O43" s="51">
        <f t="shared" si="34"/>
        <v>0.43</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15">
        <f t="shared" si="32"/>
        <v>51.760000000000005</v>
      </c>
      <c r="Y43" s="259"/>
    </row>
    <row r="44" spans="2:25">
      <c r="B44" s="176" t="s">
        <v>337</v>
      </c>
      <c r="C44" s="1325"/>
      <c r="D44" s="1308" t="s">
        <v>101</v>
      </c>
      <c r="E44" s="1330" t="s">
        <v>109</v>
      </c>
      <c r="F44" s="1330"/>
      <c r="G44" s="170" t="s">
        <v>384</v>
      </c>
      <c r="H44" s="392" t="s">
        <v>0</v>
      </c>
      <c r="I44" s="11">
        <f>+ROUND(I42/(1-I28/100),2)</f>
        <v>0.45</v>
      </c>
      <c r="J44" s="11">
        <f>+ROUND(J42/(1-J28/100),2)</f>
        <v>0.16</v>
      </c>
      <c r="K44" s="11">
        <f t="shared" ref="K44:W44" si="35">+ROUND(K42/(1-K28/100),2)</f>
        <v>0.11</v>
      </c>
      <c r="L44" s="11">
        <f t="shared" si="35"/>
        <v>0.09</v>
      </c>
      <c r="M44" s="11">
        <f t="shared" si="35"/>
        <v>0</v>
      </c>
      <c r="N44" s="11">
        <f t="shared" si="35"/>
        <v>0.05</v>
      </c>
      <c r="O44" s="11">
        <f t="shared" si="35"/>
        <v>0.01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1.66</v>
      </c>
      <c r="Y44" s="260"/>
    </row>
    <row r="45" spans="2:25">
      <c r="B45" s="416" t="s">
        <v>362</v>
      </c>
      <c r="C45" s="1325"/>
      <c r="D45" s="1308"/>
      <c r="E45" s="1336" t="s">
        <v>110</v>
      </c>
      <c r="F45" s="1336"/>
      <c r="G45" s="170" t="str">
        <f>"=⑬"</f>
        <v>=⑬</v>
      </c>
      <c r="H45" s="392" t="s">
        <v>38</v>
      </c>
      <c r="I45" s="14">
        <f>+I42</f>
        <v>0.34</v>
      </c>
      <c r="J45" s="14">
        <f>+J42</f>
        <v>0.12</v>
      </c>
      <c r="K45" s="14">
        <f t="shared" ref="K45:W45" si="36">+K42</f>
        <v>0.08</v>
      </c>
      <c r="L45" s="14">
        <f t="shared" si="36"/>
        <v>6.9999999999999993E-2</v>
      </c>
      <c r="M45" s="14">
        <f t="shared" si="36"/>
        <v>0</v>
      </c>
      <c r="N45" s="14">
        <f t="shared" si="36"/>
        <v>0.04</v>
      </c>
      <c r="O45" s="14">
        <f t="shared" si="36"/>
        <v>0.01</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1.25</v>
      </c>
      <c r="Y45" s="259"/>
    </row>
    <row r="46" spans="2:25">
      <c r="B46" s="416" t="s">
        <v>363</v>
      </c>
      <c r="C46" s="1325"/>
      <c r="D46" s="1308"/>
      <c r="E46" s="1336" t="s">
        <v>111</v>
      </c>
      <c r="F46" s="1336"/>
      <c r="G46" s="170" t="s">
        <v>385</v>
      </c>
      <c r="H46" s="392" t="s">
        <v>0</v>
      </c>
      <c r="I46" s="14">
        <f>+I41-I44</f>
        <v>1.82</v>
      </c>
      <c r="J46" s="14">
        <f>+J41-J44</f>
        <v>0.64</v>
      </c>
      <c r="K46" s="14">
        <f t="shared" ref="K46:O46" si="37">+K41-K44</f>
        <v>0.42000000000000004</v>
      </c>
      <c r="L46" s="14">
        <f t="shared" si="37"/>
        <v>0.38</v>
      </c>
      <c r="M46" s="14">
        <f t="shared" si="37"/>
        <v>0</v>
      </c>
      <c r="N46" s="14">
        <f t="shared" si="37"/>
        <v>0.22000000000000003</v>
      </c>
      <c r="O46" s="14">
        <f t="shared" si="37"/>
        <v>6.0000000000000005E-2</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6.68</v>
      </c>
      <c r="Y46" s="259"/>
    </row>
    <row r="47" spans="2:25" ht="40.5">
      <c r="B47" s="385" t="s">
        <v>364</v>
      </c>
      <c r="C47" s="1325"/>
      <c r="D47" s="1308"/>
      <c r="E47" s="1336" t="s">
        <v>108</v>
      </c>
      <c r="F47" s="1336"/>
      <c r="G47" s="186" t="s">
        <v>386</v>
      </c>
      <c r="H47" s="392" t="s">
        <v>90</v>
      </c>
      <c r="I47" s="14">
        <f>+ROUND((100-I29)*(I41-I45)*4.186+I46*2258+(100-I29)*I45*0.3*4.184,2)</f>
        <v>4832.55</v>
      </c>
      <c r="J47" s="14">
        <f>+ROUND((100-J29)*(J41-J45)*4.186+J46*2258+(100-J29)*J45*0.3*4.184,2)</f>
        <v>1699.87</v>
      </c>
      <c r="K47" s="14">
        <f t="shared" ref="K47:O47" si="40">+ROUND((100-K29)*(K41-K45)*4.186+K46*2258+(100-K29)*K45*0.3*4.184,2)</f>
        <v>1117.01</v>
      </c>
      <c r="L47" s="14">
        <f t="shared" si="40"/>
        <v>1007.83</v>
      </c>
      <c r="M47" s="14">
        <f t="shared" si="40"/>
        <v>0</v>
      </c>
      <c r="N47" s="14">
        <f t="shared" si="40"/>
        <v>582.86</v>
      </c>
      <c r="O47" s="14">
        <f t="shared" si="40"/>
        <v>157.9</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17739.490000000002</v>
      </c>
      <c r="Y47" s="261" t="s">
        <v>112</v>
      </c>
    </row>
    <row r="48" spans="2:25">
      <c r="B48" s="387" t="s">
        <v>365</v>
      </c>
      <c r="C48" s="1325"/>
      <c r="D48" s="1347" t="s">
        <v>127</v>
      </c>
      <c r="E48" s="1337" t="s">
        <v>128</v>
      </c>
      <c r="F48" s="177" t="s">
        <v>369</v>
      </c>
      <c r="G48" s="178" t="s">
        <v>387</v>
      </c>
      <c r="H48" s="1347"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387" t="s">
        <v>366</v>
      </c>
      <c r="C49" s="1325"/>
      <c r="D49" s="1348"/>
      <c r="E49" s="1338"/>
      <c r="F49" s="179" t="s">
        <v>370</v>
      </c>
      <c r="G49" s="178" t="s">
        <v>388</v>
      </c>
      <c r="H49" s="1348"/>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147</v>
      </c>
      <c r="Y49" s="189"/>
    </row>
    <row r="50" spans="2:25">
      <c r="B50" s="387" t="s">
        <v>367</v>
      </c>
      <c r="C50" s="1325"/>
      <c r="D50" s="1348"/>
      <c r="E50" s="1338"/>
      <c r="F50" s="179" t="s">
        <v>371</v>
      </c>
      <c r="G50" s="178" t="s">
        <v>389</v>
      </c>
      <c r="H50" s="1348"/>
      <c r="I50" s="208" t="str">
        <f t="shared" ref="I50:W50" si="44">IFERROR(IF(I38&gt;=I35,IF((I35-I34-I38)/J48&lt;0,0,+ROUND((I35-I34-I38)/J48,0)),"-"),0)</f>
        <v>-</v>
      </c>
      <c r="J50" s="208">
        <f t="shared" si="44"/>
        <v>0</v>
      </c>
      <c r="K50" s="208">
        <f t="shared" si="44"/>
        <v>0</v>
      </c>
      <c r="L50" s="208">
        <f t="shared" si="44"/>
        <v>0</v>
      </c>
      <c r="M50" s="208" t="str">
        <f t="shared" si="44"/>
        <v>-</v>
      </c>
      <c r="N50" s="208">
        <f t="shared" si="44"/>
        <v>0</v>
      </c>
      <c r="O50" s="208" t="str">
        <f t="shared" si="44"/>
        <v>-</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419" t="s">
        <v>368</v>
      </c>
      <c r="C51" s="1335"/>
      <c r="D51" s="1357"/>
      <c r="E51" s="1358"/>
      <c r="F51" s="180" t="s">
        <v>372</v>
      </c>
      <c r="G51" s="181" t="s">
        <v>373</v>
      </c>
      <c r="H51" s="1357"/>
      <c r="I51" s="209" t="str">
        <f t="shared" ref="I51:W51" si="45">IFERROR(IF(I38&gt;=I35,ROUND((I35+I47-I38)/J48,0),"-"),0)</f>
        <v>-</v>
      </c>
      <c r="J51" s="209">
        <f t="shared" si="45"/>
        <v>0</v>
      </c>
      <c r="K51" s="209">
        <f t="shared" si="45"/>
        <v>0</v>
      </c>
      <c r="L51" s="209">
        <f t="shared" si="45"/>
        <v>0</v>
      </c>
      <c r="M51" s="209" t="str">
        <f t="shared" si="45"/>
        <v>-</v>
      </c>
      <c r="N51" s="209">
        <f t="shared" si="45"/>
        <v>0</v>
      </c>
      <c r="O51" s="209" t="str">
        <f t="shared" si="45"/>
        <v>-</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399</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59" t="s">
        <v>576</v>
      </c>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row>
    <row r="54" spans="2:25" ht="14.25" thickBot="1">
      <c r="B54" s="1360" t="s">
        <v>331</v>
      </c>
      <c r="C54" s="1361"/>
      <c r="D54" s="1361"/>
      <c r="E54" s="1361"/>
      <c r="F54" s="1361"/>
      <c r="G54" s="1361"/>
      <c r="H54" s="1361"/>
      <c r="I54" s="1361"/>
      <c r="J54" s="1361"/>
      <c r="K54" s="1361"/>
      <c r="L54" s="1361"/>
      <c r="M54" s="1361"/>
      <c r="N54" s="1361"/>
      <c r="O54" s="1361"/>
      <c r="P54" s="1361"/>
      <c r="Q54" s="1361"/>
      <c r="R54" s="1361"/>
      <c r="S54" s="1361"/>
      <c r="T54" s="1361"/>
      <c r="U54" s="1361"/>
      <c r="V54" s="1361"/>
      <c r="W54" s="1361"/>
      <c r="X54" s="1361"/>
      <c r="Y54" s="1362"/>
    </row>
    <row r="55" spans="2:25">
      <c r="B55" s="1305" t="str">
        <f>B4</f>
        <v>記号</v>
      </c>
      <c r="C55" s="1363" t="str">
        <f>C4</f>
        <v>項目</v>
      </c>
      <c r="D55" s="1363"/>
      <c r="E55" s="1363"/>
      <c r="F55" s="1363"/>
      <c r="G55" s="1364" t="str">
        <f t="shared" ref="G55:Y55" si="46">G4</f>
        <v>根拠</v>
      </c>
      <c r="H55" s="1363" t="str">
        <f t="shared" si="46"/>
        <v>単位</v>
      </c>
      <c r="I55" s="1311" t="str">
        <f t="shared" si="46"/>
        <v>A市浄化センター</v>
      </c>
      <c r="J55" s="1311" t="str">
        <f t="shared" si="46"/>
        <v>B町中央浄化センター</v>
      </c>
      <c r="K55" s="1311" t="str">
        <f t="shared" si="46"/>
        <v>B町浄化センター</v>
      </c>
      <c r="L55" s="1311" t="str">
        <f t="shared" si="46"/>
        <v>C町西浄化センター</v>
      </c>
      <c r="M55" s="1311" t="str">
        <f t="shared" si="46"/>
        <v>C町東浄化センター</v>
      </c>
      <c r="N55" s="1311" t="str">
        <f t="shared" si="46"/>
        <v>C町中部浄化センター</v>
      </c>
      <c r="O55" s="1311" t="str">
        <f t="shared" si="46"/>
        <v>その他処理場</v>
      </c>
      <c r="P55" s="1311" t="str">
        <f t="shared" si="46"/>
        <v>A市・B町・C町</v>
      </c>
      <c r="Q55" s="1311" t="str">
        <f t="shared" si="46"/>
        <v>A市・B町・C町</v>
      </c>
      <c r="R55" s="1311" t="str">
        <f t="shared" si="46"/>
        <v>A市・B町・C町</v>
      </c>
      <c r="S55" s="1311" t="str">
        <f t="shared" si="46"/>
        <v>A市・B町・C町</v>
      </c>
      <c r="T55" s="1311">
        <f t="shared" si="46"/>
        <v>0</v>
      </c>
      <c r="U55" s="1311">
        <f t="shared" si="46"/>
        <v>0</v>
      </c>
      <c r="V55" s="1311">
        <f t="shared" si="46"/>
        <v>0</v>
      </c>
      <c r="W55" s="1366">
        <f t="shared" si="46"/>
        <v>0</v>
      </c>
      <c r="X55" s="1368" t="str">
        <f t="shared" si="46"/>
        <v>総合</v>
      </c>
      <c r="Y55" s="1371" t="str">
        <f t="shared" si="46"/>
        <v>備考</v>
      </c>
    </row>
    <row r="56" spans="2:25">
      <c r="B56" s="1306"/>
      <c r="C56" s="1283"/>
      <c r="D56" s="1283"/>
      <c r="E56" s="1283"/>
      <c r="F56" s="1283"/>
      <c r="G56" s="1365"/>
      <c r="H56" s="1283"/>
      <c r="I56" s="1285"/>
      <c r="J56" s="1285"/>
      <c r="K56" s="1285"/>
      <c r="L56" s="1285"/>
      <c r="M56" s="1285"/>
      <c r="N56" s="1285"/>
      <c r="O56" s="1285"/>
      <c r="P56" s="1285"/>
      <c r="Q56" s="1285"/>
      <c r="R56" s="1285"/>
      <c r="S56" s="1285"/>
      <c r="T56" s="1285"/>
      <c r="U56" s="1285"/>
      <c r="V56" s="1285"/>
      <c r="W56" s="1367"/>
      <c r="X56" s="1369"/>
      <c r="Y56" s="1372"/>
    </row>
    <row r="57" spans="2:25" ht="13.5" customHeight="1">
      <c r="B57" s="1306"/>
      <c r="C57" s="1283"/>
      <c r="D57" s="1283"/>
      <c r="E57" s="1283"/>
      <c r="F57" s="1283"/>
      <c r="G57" s="1365"/>
      <c r="H57" s="1283"/>
      <c r="I57" s="1312" t="str">
        <f t="shared" ref="I57:W57" si="47">I6</f>
        <v>濃縮汚泥</v>
      </c>
      <c r="J57" s="1312" t="str">
        <f t="shared" si="47"/>
        <v>脱水汚泥</v>
      </c>
      <c r="K57" s="1312" t="str">
        <f t="shared" si="47"/>
        <v>脱水汚泥</v>
      </c>
      <c r="L57" s="1312" t="str">
        <f t="shared" si="47"/>
        <v>脱水汚泥</v>
      </c>
      <c r="M57" s="1312" t="str">
        <f t="shared" si="47"/>
        <v>濃縮汚泥</v>
      </c>
      <c r="N57" s="1312" t="str">
        <f t="shared" si="47"/>
        <v>脱水汚泥</v>
      </c>
      <c r="O57" s="1312" t="str">
        <f t="shared" si="47"/>
        <v>濃縮汚泥</v>
      </c>
      <c r="P57" s="1312" t="str">
        <f t="shared" si="47"/>
        <v>し尿</v>
      </c>
      <c r="Q57" s="1312" t="str">
        <f t="shared" si="47"/>
        <v>浄化槽汚泥</v>
      </c>
      <c r="R57" s="1375" t="str">
        <f t="shared" si="47"/>
        <v>集落排水汚泥</v>
      </c>
      <c r="S57" s="1312" t="str">
        <f t="shared" si="47"/>
        <v>生ごみ</v>
      </c>
      <c r="T57" s="1312">
        <f t="shared" si="47"/>
        <v>0</v>
      </c>
      <c r="U57" s="1312">
        <f t="shared" si="47"/>
        <v>0</v>
      </c>
      <c r="V57" s="1312">
        <f t="shared" si="47"/>
        <v>0</v>
      </c>
      <c r="W57" s="1374">
        <f t="shared" si="47"/>
        <v>0</v>
      </c>
      <c r="X57" s="1369"/>
      <c r="Y57" s="1372"/>
    </row>
    <row r="58" spans="2:25">
      <c r="B58" s="1306"/>
      <c r="C58" s="1283"/>
      <c r="D58" s="1283"/>
      <c r="E58" s="1283"/>
      <c r="F58" s="1283"/>
      <c r="G58" s="1365"/>
      <c r="H58" s="1283"/>
      <c r="I58" s="1312"/>
      <c r="J58" s="1312"/>
      <c r="K58" s="1312"/>
      <c r="L58" s="1312"/>
      <c r="M58" s="1312"/>
      <c r="N58" s="1312"/>
      <c r="O58" s="1312"/>
      <c r="P58" s="1312"/>
      <c r="Q58" s="1312"/>
      <c r="R58" s="1375"/>
      <c r="S58" s="1312"/>
      <c r="T58" s="1312"/>
      <c r="U58" s="1312"/>
      <c r="V58" s="1312"/>
      <c r="W58" s="1374"/>
      <c r="X58" s="1370"/>
      <c r="Y58" s="1373"/>
    </row>
    <row r="59" spans="2:25">
      <c r="B59" s="176" t="s">
        <v>390</v>
      </c>
      <c r="C59" s="1325" t="s">
        <v>70</v>
      </c>
      <c r="D59" s="1326" t="s">
        <v>56</v>
      </c>
      <c r="E59" s="1329" t="s">
        <v>57</v>
      </c>
      <c r="F59" s="422" t="s">
        <v>58</v>
      </c>
      <c r="G59" s="8" t="s">
        <v>50</v>
      </c>
      <c r="H59" s="426" t="s">
        <v>0</v>
      </c>
      <c r="I59" s="11">
        <f>ROUND(③基本情報入力【例】!L14*③基本情報入力【例】!L15,2)</f>
        <v>36</v>
      </c>
      <c r="J59" s="11">
        <f>ROUND(③基本情報入力【例】!V14*③基本情報入力【例】!V15,2)</f>
        <v>1.2</v>
      </c>
      <c r="K59" s="11">
        <f>ROUND(③基本情報入力【例】!AA14*③基本情報入力【例】!AA15,2)</f>
        <v>0.84</v>
      </c>
      <c r="L59" s="11">
        <f>ROUND(③基本情報入力【例】!AF14*③基本情報入力【例】!AF15,2)</f>
        <v>0.6</v>
      </c>
      <c r="M59" s="11">
        <f>ROUND(③基本情報入力【例】!AK14*③基本情報入力【例】!AK15,2)</f>
        <v>0.12</v>
      </c>
      <c r="N59" s="11">
        <f>ROUND(③基本情報入力【例】!AP14*③基本情報入力【例】!AP15,2)</f>
        <v>0.36</v>
      </c>
      <c r="O59" s="11">
        <f>ROUND(③基本情報入力【例】!AU14*③基本情報入力【例】!AU15,2)</f>
        <v>0.6</v>
      </c>
      <c r="P59" s="11">
        <f>ROUND(③基本情報入力【例】!L31*③基本情報入力【例】!L32,2)</f>
        <v>3.6</v>
      </c>
      <c r="Q59" s="11">
        <f>ROUND(③基本情報入力【例】!Q31*③基本情報入力【例】!Q32,2)</f>
        <v>18</v>
      </c>
      <c r="R59" s="11">
        <f>ROUND(③基本情報入力【例】!V31*③基本情報入力【例】!V32,2)</f>
        <v>6</v>
      </c>
      <c r="S59" s="11">
        <f>ROUND(③基本情報入力【例】!AA31*③基本情報入力【例】!AA32,2)</f>
        <v>4.8</v>
      </c>
      <c r="T59" s="11">
        <f>ROUND(③基本情報入力【例】!AF31*③基本情報入力【例】!AF32,2)</f>
        <v>0</v>
      </c>
      <c r="U59" s="11">
        <f>ROUND(③基本情報入力【例】!AK31*③基本情報入力【例】!AK32,2)</f>
        <v>0</v>
      </c>
      <c r="V59" s="11">
        <f>ROUND(③基本情報入力【例】!AP31*③基本情報入力【例】!AP32,2)</f>
        <v>0</v>
      </c>
      <c r="W59" s="211">
        <f>ROUND(③基本情報入力【例】!AQ31*③基本情報入力【例】!AQ32,2)</f>
        <v>0</v>
      </c>
      <c r="X59" s="10">
        <f t="shared" ref="X59:X64" si="48">+SUM(I59:V59)</f>
        <v>72.12</v>
      </c>
      <c r="Y59" s="13" t="s">
        <v>170</v>
      </c>
    </row>
    <row r="60" spans="2:25">
      <c r="B60" s="416" t="s">
        <v>391</v>
      </c>
      <c r="C60" s="1326"/>
      <c r="D60" s="1328"/>
      <c r="E60" s="1330"/>
      <c r="F60" s="418" t="s">
        <v>59</v>
      </c>
      <c r="G60" s="429" t="s">
        <v>65</v>
      </c>
      <c r="H60" s="420"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416" t="s">
        <v>392</v>
      </c>
      <c r="C61" s="1326"/>
      <c r="D61" s="1331" t="s">
        <v>54</v>
      </c>
      <c r="E61" s="1332" t="s">
        <v>60</v>
      </c>
      <c r="F61" s="418" t="s">
        <v>61</v>
      </c>
      <c r="G61" s="429" t="s">
        <v>168</v>
      </c>
      <c r="H61" s="420" t="s">
        <v>0</v>
      </c>
      <c r="I61" s="18">
        <f>I59-I60</f>
        <v>36</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72.12</v>
      </c>
      <c r="Y61" s="17"/>
    </row>
    <row r="62" spans="2:25">
      <c r="B62" s="416" t="s">
        <v>393</v>
      </c>
      <c r="C62" s="1326"/>
      <c r="D62" s="1326"/>
      <c r="E62" s="1329"/>
      <c r="F62" s="418" t="s">
        <v>62</v>
      </c>
      <c r="G62" s="429" t="s">
        <v>66</v>
      </c>
      <c r="H62" s="420" t="s">
        <v>38</v>
      </c>
      <c r="I62" s="34">
        <f t="shared" ref="I62:W62" si="52">ROUND(+I61*I66/100,2)</f>
        <v>0.54</v>
      </c>
      <c r="J62" s="34">
        <f t="shared" si="52"/>
        <v>0.19</v>
      </c>
      <c r="K62" s="34">
        <f t="shared" si="52"/>
        <v>0.13</v>
      </c>
      <c r="L62" s="34">
        <f t="shared" si="52"/>
        <v>0.1</v>
      </c>
      <c r="M62" s="34">
        <f t="shared" si="52"/>
        <v>0</v>
      </c>
      <c r="N62" s="34">
        <f t="shared" si="52"/>
        <v>0.06</v>
      </c>
      <c r="O62" s="34">
        <f t="shared" si="52"/>
        <v>0.01</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2.7300000000000004</v>
      </c>
      <c r="Y62" s="17"/>
    </row>
    <row r="63" spans="2:25">
      <c r="B63" s="416" t="s">
        <v>394</v>
      </c>
      <c r="C63" s="1326"/>
      <c r="D63" s="1326"/>
      <c r="E63" s="1329"/>
      <c r="F63" s="418" t="s">
        <v>63</v>
      </c>
      <c r="G63" s="19" t="s">
        <v>67</v>
      </c>
      <c r="H63" s="420" t="s">
        <v>69</v>
      </c>
      <c r="I63" s="14">
        <f>+I61-I62</f>
        <v>35.46</v>
      </c>
      <c r="J63" s="14">
        <f t="shared" ref="J63:O63" si="53">+J61-J62</f>
        <v>1.01</v>
      </c>
      <c r="K63" s="14">
        <f t="shared" si="53"/>
        <v>0.71</v>
      </c>
      <c r="L63" s="14">
        <f t="shared" si="53"/>
        <v>0.5</v>
      </c>
      <c r="M63" s="14">
        <f t="shared" si="53"/>
        <v>0.12</v>
      </c>
      <c r="N63" s="14">
        <f t="shared" si="53"/>
        <v>0.3</v>
      </c>
      <c r="O63" s="14">
        <f t="shared" si="53"/>
        <v>0.59</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69.39</v>
      </c>
      <c r="Y63" s="17"/>
    </row>
    <row r="64" spans="2:25" ht="14.25" thickBot="1">
      <c r="B64" s="416" t="s">
        <v>395</v>
      </c>
      <c r="C64" s="1327"/>
      <c r="D64" s="1327"/>
      <c r="E64" s="1333"/>
      <c r="F64" s="192" t="s">
        <v>64</v>
      </c>
      <c r="G64" s="204" t="s">
        <v>68</v>
      </c>
      <c r="H64" s="53" t="s">
        <v>35</v>
      </c>
      <c r="I64" s="190">
        <f t="shared" ref="I64:W64" si="55">ROUND(+I62*I67/100,2)</f>
        <v>0.44</v>
      </c>
      <c r="J64" s="190">
        <f t="shared" si="55"/>
        <v>0.15</v>
      </c>
      <c r="K64" s="190">
        <f t="shared" si="55"/>
        <v>0.1</v>
      </c>
      <c r="L64" s="190">
        <f t="shared" si="55"/>
        <v>0.08</v>
      </c>
      <c r="M64" s="190">
        <f t="shared" si="55"/>
        <v>0</v>
      </c>
      <c r="N64" s="190">
        <f t="shared" si="55"/>
        <v>0.05</v>
      </c>
      <c r="O64" s="190">
        <f t="shared" si="55"/>
        <v>0.01</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2.25</v>
      </c>
      <c r="Y64" s="193"/>
    </row>
    <row r="65" spans="2:25" ht="13.5" customHeight="1">
      <c r="B65" s="262" t="s">
        <v>396</v>
      </c>
      <c r="C65" s="1334" t="s">
        <v>89</v>
      </c>
      <c r="D65" s="428" t="s">
        <v>56</v>
      </c>
      <c r="E65" s="421" t="s">
        <v>57</v>
      </c>
      <c r="F65" s="421" t="s">
        <v>71</v>
      </c>
      <c r="G65" s="183" t="s">
        <v>50</v>
      </c>
      <c r="H65" s="428"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416" t="s">
        <v>397</v>
      </c>
      <c r="C66" s="1325"/>
      <c r="D66" s="1331" t="s">
        <v>54</v>
      </c>
      <c r="E66" s="1336" t="s">
        <v>60</v>
      </c>
      <c r="F66" s="21" t="s">
        <v>51</v>
      </c>
      <c r="G66" s="170" t="s">
        <v>50</v>
      </c>
      <c r="H66" s="420" t="s">
        <v>53</v>
      </c>
      <c r="I66" s="52">
        <f t="shared" si="56"/>
        <v>1.5</v>
      </c>
      <c r="J66" s="52">
        <f t="shared" si="56"/>
        <v>16</v>
      </c>
      <c r="K66" s="52">
        <f t="shared" si="56"/>
        <v>16</v>
      </c>
      <c r="L66" s="52">
        <f t="shared" si="56"/>
        <v>17</v>
      </c>
      <c r="M66" s="52">
        <f t="shared" si="56"/>
        <v>1.5</v>
      </c>
      <c r="N66" s="52">
        <f t="shared" si="56"/>
        <v>16</v>
      </c>
      <c r="O66" s="52">
        <f t="shared" si="56"/>
        <v>1.1000000000000001</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3.8</v>
      </c>
      <c r="Y66" s="22"/>
    </row>
    <row r="67" spans="2:25">
      <c r="B67" s="416" t="s">
        <v>398</v>
      </c>
      <c r="C67" s="1325"/>
      <c r="D67" s="1325"/>
      <c r="E67" s="1336"/>
      <c r="F67" s="21" t="s">
        <v>52</v>
      </c>
      <c r="G67" s="170" t="s">
        <v>50</v>
      </c>
      <c r="H67" s="420" t="s">
        <v>91</v>
      </c>
      <c r="I67" s="52">
        <f t="shared" si="56"/>
        <v>80.7</v>
      </c>
      <c r="J67" s="52">
        <f t="shared" si="56"/>
        <v>80.7</v>
      </c>
      <c r="K67" s="52">
        <f t="shared" si="56"/>
        <v>80.7</v>
      </c>
      <c r="L67" s="52">
        <f t="shared" si="56"/>
        <v>80.7</v>
      </c>
      <c r="M67" s="52">
        <f t="shared" si="56"/>
        <v>80.7</v>
      </c>
      <c r="N67" s="52">
        <f t="shared" si="56"/>
        <v>80.7</v>
      </c>
      <c r="O67" s="52">
        <f t="shared" si="56"/>
        <v>80.7</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82.4</v>
      </c>
      <c r="Y67" s="22"/>
    </row>
    <row r="68" spans="2:25">
      <c r="B68" s="416" t="s">
        <v>399</v>
      </c>
      <c r="C68" s="1325"/>
      <c r="D68" s="1325"/>
      <c r="E68" s="1336" t="s">
        <v>72</v>
      </c>
      <c r="F68" s="21" t="s">
        <v>73</v>
      </c>
      <c r="G68" s="170" t="s">
        <v>50</v>
      </c>
      <c r="H68" s="420" t="s">
        <v>53</v>
      </c>
      <c r="I68" s="52">
        <f t="shared" si="56"/>
        <v>30</v>
      </c>
      <c r="J68" s="52">
        <f t="shared" si="56"/>
        <v>30</v>
      </c>
      <c r="K68" s="52">
        <f t="shared" si="56"/>
        <v>30</v>
      </c>
      <c r="L68" s="52">
        <f t="shared" si="56"/>
        <v>30</v>
      </c>
      <c r="M68" s="52">
        <f t="shared" si="56"/>
        <v>30</v>
      </c>
      <c r="N68" s="52">
        <f t="shared" si="56"/>
        <v>30</v>
      </c>
      <c r="O68" s="52">
        <f t="shared" si="56"/>
        <v>30</v>
      </c>
      <c r="P68" s="52">
        <f t="shared" si="56"/>
        <v>46</v>
      </c>
      <c r="Q68" s="49">
        <f t="shared" si="56"/>
        <v>46</v>
      </c>
      <c r="R68" s="49">
        <f t="shared" si="56"/>
        <v>46</v>
      </c>
      <c r="S68" s="49">
        <f t="shared" si="56"/>
        <v>78</v>
      </c>
      <c r="T68" s="49">
        <f t="shared" si="56"/>
        <v>0</v>
      </c>
      <c r="U68" s="49">
        <f t="shared" si="56"/>
        <v>0</v>
      </c>
      <c r="V68" s="49">
        <f t="shared" si="56"/>
        <v>0</v>
      </c>
      <c r="W68" s="318">
        <f t="shared" si="56"/>
        <v>0</v>
      </c>
      <c r="X68" s="26">
        <f>+ROUND(X81/X64*100,1)</f>
        <v>55.6</v>
      </c>
      <c r="Y68" s="22"/>
    </row>
    <row r="69" spans="2:25" ht="15.75">
      <c r="B69" s="416" t="s">
        <v>400</v>
      </c>
      <c r="C69" s="1325"/>
      <c r="D69" s="1325"/>
      <c r="E69" s="1336"/>
      <c r="F69" s="21" t="s">
        <v>74</v>
      </c>
      <c r="G69" s="170" t="s">
        <v>50</v>
      </c>
      <c r="H69" s="420" t="s">
        <v>165</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26">
        <f>+ROUND(X84/X81/1000,2)</f>
        <v>0.83</v>
      </c>
      <c r="Y69" s="22"/>
    </row>
    <row r="70" spans="2:25" ht="15.75" customHeight="1">
      <c r="B70" s="416" t="s">
        <v>401</v>
      </c>
      <c r="C70" s="1325"/>
      <c r="D70" s="1325"/>
      <c r="E70" s="1336"/>
      <c r="F70" s="21" t="s">
        <v>75</v>
      </c>
      <c r="G70" s="170" t="s">
        <v>79</v>
      </c>
      <c r="H70" s="420" t="s">
        <v>166</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353" t="s">
        <v>579</v>
      </c>
    </row>
    <row r="71" spans="2:25" ht="13.5" customHeight="1">
      <c r="B71" s="416" t="s">
        <v>402</v>
      </c>
      <c r="C71" s="1325"/>
      <c r="D71" s="1325"/>
      <c r="E71" s="1336"/>
      <c r="F71" s="21" t="s">
        <v>76</v>
      </c>
      <c r="G71" s="170" t="s">
        <v>50</v>
      </c>
      <c r="H71" s="420"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354"/>
    </row>
    <row r="72" spans="2:25" ht="13.5" customHeight="1">
      <c r="B72" s="416" t="s">
        <v>403</v>
      </c>
      <c r="C72" s="1325"/>
      <c r="D72" s="1325"/>
      <c r="E72" s="1336"/>
      <c r="F72" s="21" t="s">
        <v>77</v>
      </c>
      <c r="G72" s="182" t="s">
        <v>374</v>
      </c>
      <c r="H72" s="420" t="s">
        <v>166</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354"/>
    </row>
    <row r="73" spans="2:25">
      <c r="B73" s="416" t="s">
        <v>404</v>
      </c>
      <c r="C73" s="1325"/>
      <c r="D73" s="1325"/>
      <c r="E73" s="1376" t="s">
        <v>106</v>
      </c>
      <c r="F73" s="27" t="s">
        <v>104</v>
      </c>
      <c r="G73" s="170" t="s">
        <v>50</v>
      </c>
      <c r="H73" s="420"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354"/>
    </row>
    <row r="74" spans="2:25">
      <c r="B74" s="416" t="s">
        <v>405</v>
      </c>
      <c r="C74" s="1325"/>
      <c r="D74" s="1351"/>
      <c r="E74" s="1376"/>
      <c r="F74" s="27" t="s">
        <v>105</v>
      </c>
      <c r="G74" s="170" t="s">
        <v>50</v>
      </c>
      <c r="H74" s="420"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354"/>
    </row>
    <row r="75" spans="2:25">
      <c r="B75" s="416" t="s">
        <v>406</v>
      </c>
      <c r="C75" s="1325"/>
      <c r="D75" s="1347" t="s">
        <v>353</v>
      </c>
      <c r="E75" s="1344" t="s">
        <v>223</v>
      </c>
      <c r="F75" s="1345"/>
      <c r="G75" s="170" t="s">
        <v>50</v>
      </c>
      <c r="H75" s="392"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354"/>
    </row>
    <row r="76" spans="2:25">
      <c r="B76" s="416" t="s">
        <v>407</v>
      </c>
      <c r="C76" s="1325"/>
      <c r="D76" s="1348"/>
      <c r="E76" s="1344" t="s">
        <v>224</v>
      </c>
      <c r="F76" s="1345"/>
      <c r="G76" s="170" t="s">
        <v>50</v>
      </c>
      <c r="H76" s="392" t="s">
        <v>217</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354"/>
    </row>
    <row r="77" spans="2:25">
      <c r="B77" s="188" t="s">
        <v>408</v>
      </c>
      <c r="C77" s="1325"/>
      <c r="D77" s="1349"/>
      <c r="E77" s="168" t="s">
        <v>225</v>
      </c>
      <c r="F77" s="169"/>
      <c r="G77" s="170" t="s">
        <v>50</v>
      </c>
      <c r="H77" s="392"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354"/>
    </row>
    <row r="78" spans="2:25">
      <c r="B78" s="416" t="s">
        <v>409</v>
      </c>
      <c r="C78" s="1325"/>
      <c r="D78" s="420" t="s">
        <v>30</v>
      </c>
      <c r="E78" s="1377" t="s">
        <v>78</v>
      </c>
      <c r="F78" s="1378"/>
      <c r="G78" s="170" t="s">
        <v>50</v>
      </c>
      <c r="H78" s="420"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354"/>
    </row>
    <row r="79" spans="2:25">
      <c r="B79" s="416" t="s">
        <v>410</v>
      </c>
      <c r="C79" s="1325"/>
      <c r="D79" s="1326" t="s">
        <v>101</v>
      </c>
      <c r="E79" s="37" t="s">
        <v>102</v>
      </c>
      <c r="F79" s="38"/>
      <c r="G79" s="170" t="s">
        <v>50</v>
      </c>
      <c r="H79" s="426"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54"/>
    </row>
    <row r="80" spans="2:25" ht="14.25" thickBot="1">
      <c r="B80" s="194" t="s">
        <v>411</v>
      </c>
      <c r="C80" s="1335"/>
      <c r="D80" s="1327"/>
      <c r="E80" s="200" t="s">
        <v>103</v>
      </c>
      <c r="F80" s="201"/>
      <c r="G80" s="178" t="s">
        <v>50</v>
      </c>
      <c r="H80" s="425"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1355"/>
    </row>
    <row r="81" spans="2:25" ht="13.5" customHeight="1">
      <c r="B81" s="262" t="s">
        <v>113</v>
      </c>
      <c r="C81" s="1334" t="s">
        <v>88</v>
      </c>
      <c r="D81" s="1334" t="s">
        <v>54</v>
      </c>
      <c r="E81" s="1352" t="s">
        <v>80</v>
      </c>
      <c r="F81" s="1352"/>
      <c r="G81" s="184" t="s">
        <v>375</v>
      </c>
      <c r="H81" s="428" t="s">
        <v>35</v>
      </c>
      <c r="I81" s="9">
        <f t="shared" ref="I81:W81" si="72">ROUND(+I64*I68/100,2)</f>
        <v>0.13</v>
      </c>
      <c r="J81" s="9">
        <f t="shared" si="72"/>
        <v>0.05</v>
      </c>
      <c r="K81" s="9">
        <f t="shared" si="72"/>
        <v>0.03</v>
      </c>
      <c r="L81" s="9">
        <f t="shared" si="72"/>
        <v>0.02</v>
      </c>
      <c r="M81" s="9">
        <f t="shared" si="72"/>
        <v>0</v>
      </c>
      <c r="N81" s="9">
        <f t="shared" si="72"/>
        <v>0.02</v>
      </c>
      <c r="O81" s="9">
        <f t="shared" si="72"/>
        <v>0</v>
      </c>
      <c r="P81" s="30">
        <f t="shared" si="72"/>
        <v>0.02</v>
      </c>
      <c r="Q81" s="9">
        <f t="shared" si="72"/>
        <v>0.08</v>
      </c>
      <c r="R81" s="9">
        <f t="shared" si="72"/>
        <v>0.05</v>
      </c>
      <c r="S81" s="9">
        <f t="shared" si="72"/>
        <v>0.85</v>
      </c>
      <c r="T81" s="9">
        <f t="shared" si="72"/>
        <v>0</v>
      </c>
      <c r="U81" s="9">
        <f t="shared" si="72"/>
        <v>0</v>
      </c>
      <c r="V81" s="30">
        <f t="shared" si="72"/>
        <v>0</v>
      </c>
      <c r="W81" s="308">
        <f t="shared" si="72"/>
        <v>0</v>
      </c>
      <c r="X81" s="30">
        <f t="shared" ref="X81:X90" si="73">+SUM(I81:V81)</f>
        <v>1.25</v>
      </c>
      <c r="Y81" s="20"/>
    </row>
    <row r="82" spans="2:25">
      <c r="B82" s="176" t="s">
        <v>114</v>
      </c>
      <c r="C82" s="1325"/>
      <c r="D82" s="1325"/>
      <c r="E82" s="1336" t="s">
        <v>81</v>
      </c>
      <c r="F82" s="418" t="s">
        <v>64</v>
      </c>
      <c r="G82" s="170" t="s">
        <v>376</v>
      </c>
      <c r="H82" s="420" t="s">
        <v>35</v>
      </c>
      <c r="I82" s="14">
        <f t="shared" ref="I82:W82" si="74">+I64-I81</f>
        <v>0.31</v>
      </c>
      <c r="J82" s="14">
        <f t="shared" si="74"/>
        <v>9.9999999999999992E-2</v>
      </c>
      <c r="K82" s="14">
        <f t="shared" si="74"/>
        <v>7.0000000000000007E-2</v>
      </c>
      <c r="L82" s="14">
        <f t="shared" si="74"/>
        <v>0.06</v>
      </c>
      <c r="M82" s="14">
        <f t="shared" si="74"/>
        <v>0</v>
      </c>
      <c r="N82" s="14">
        <f t="shared" si="74"/>
        <v>3.0000000000000002E-2</v>
      </c>
      <c r="O82" s="14">
        <f t="shared" si="74"/>
        <v>0.01</v>
      </c>
      <c r="P82" s="15">
        <f t="shared" si="74"/>
        <v>3.0000000000000002E-2</v>
      </c>
      <c r="Q82" s="14">
        <f t="shared" si="74"/>
        <v>9.9999999999999992E-2</v>
      </c>
      <c r="R82" s="14">
        <f t="shared" si="74"/>
        <v>0.05</v>
      </c>
      <c r="S82" s="14">
        <f t="shared" si="74"/>
        <v>0.2400000000000001</v>
      </c>
      <c r="T82" s="14">
        <f t="shared" si="74"/>
        <v>0</v>
      </c>
      <c r="U82" s="14">
        <f t="shared" si="74"/>
        <v>0</v>
      </c>
      <c r="V82" s="15">
        <f t="shared" si="74"/>
        <v>0</v>
      </c>
      <c r="W82" s="210">
        <f t="shared" si="74"/>
        <v>0</v>
      </c>
      <c r="X82" s="15">
        <f t="shared" si="73"/>
        <v>1.0000000000000002</v>
      </c>
      <c r="Y82" s="17"/>
    </row>
    <row r="83" spans="2:25">
      <c r="B83" s="416" t="s">
        <v>115</v>
      </c>
      <c r="C83" s="1325"/>
      <c r="D83" s="1325"/>
      <c r="E83" s="1336"/>
      <c r="F83" s="418" t="s">
        <v>62</v>
      </c>
      <c r="G83" s="170" t="s">
        <v>377</v>
      </c>
      <c r="H83" s="420" t="s">
        <v>38</v>
      </c>
      <c r="I83" s="14">
        <f t="shared" ref="I83:W83" si="75">+I62-I81</f>
        <v>0.41000000000000003</v>
      </c>
      <c r="J83" s="14">
        <f t="shared" si="75"/>
        <v>0.14000000000000001</v>
      </c>
      <c r="K83" s="14">
        <f t="shared" si="75"/>
        <v>0.1</v>
      </c>
      <c r="L83" s="14">
        <f t="shared" si="75"/>
        <v>0.08</v>
      </c>
      <c r="M83" s="14">
        <f t="shared" si="75"/>
        <v>0</v>
      </c>
      <c r="N83" s="14">
        <f t="shared" si="75"/>
        <v>3.9999999999999994E-2</v>
      </c>
      <c r="O83" s="14">
        <f t="shared" si="75"/>
        <v>0.01</v>
      </c>
      <c r="P83" s="15">
        <f t="shared" si="75"/>
        <v>6.9999999999999993E-2</v>
      </c>
      <c r="Q83" s="14">
        <f t="shared" si="75"/>
        <v>0.15000000000000002</v>
      </c>
      <c r="R83" s="14">
        <f t="shared" si="75"/>
        <v>9.0000000000000011E-2</v>
      </c>
      <c r="S83" s="14">
        <f t="shared" si="75"/>
        <v>0.39</v>
      </c>
      <c r="T83" s="14">
        <f t="shared" si="75"/>
        <v>0</v>
      </c>
      <c r="U83" s="14">
        <f t="shared" si="75"/>
        <v>0</v>
      </c>
      <c r="V83" s="15">
        <f t="shared" si="75"/>
        <v>0</v>
      </c>
      <c r="W83" s="210">
        <f t="shared" si="75"/>
        <v>0</v>
      </c>
      <c r="X83" s="15">
        <f t="shared" si="73"/>
        <v>1.48</v>
      </c>
      <c r="Y83" s="17"/>
    </row>
    <row r="84" spans="2:25" s="279" customFormat="1" ht="15.75" customHeight="1">
      <c r="B84" s="273" t="s">
        <v>116</v>
      </c>
      <c r="C84" s="1325"/>
      <c r="D84" s="1325"/>
      <c r="E84" s="1336" t="s">
        <v>72</v>
      </c>
      <c r="F84" s="427" t="s">
        <v>82</v>
      </c>
      <c r="G84" s="280" t="s">
        <v>378</v>
      </c>
      <c r="H84" s="283" t="s">
        <v>163</v>
      </c>
      <c r="I84" s="275">
        <f>ROUND(+I81*I69*1000,2)</f>
        <v>78</v>
      </c>
      <c r="J84" s="275">
        <f t="shared" ref="J84:W84" si="76">ROUND(+J81*J69*1000,2)</f>
        <v>30</v>
      </c>
      <c r="K84" s="275">
        <f t="shared" si="76"/>
        <v>18</v>
      </c>
      <c r="L84" s="275">
        <f t="shared" si="76"/>
        <v>12</v>
      </c>
      <c r="M84" s="275">
        <f t="shared" si="76"/>
        <v>0</v>
      </c>
      <c r="N84" s="275">
        <f t="shared" si="76"/>
        <v>12</v>
      </c>
      <c r="O84" s="275">
        <f t="shared" si="76"/>
        <v>0</v>
      </c>
      <c r="P84" s="281">
        <f t="shared" si="76"/>
        <v>16</v>
      </c>
      <c r="Q84" s="275">
        <f t="shared" si="76"/>
        <v>64</v>
      </c>
      <c r="R84" s="275">
        <f t="shared" si="76"/>
        <v>40</v>
      </c>
      <c r="S84" s="275">
        <f t="shared" si="76"/>
        <v>765</v>
      </c>
      <c r="T84" s="275">
        <f t="shared" si="76"/>
        <v>0</v>
      </c>
      <c r="U84" s="275">
        <f t="shared" si="76"/>
        <v>0</v>
      </c>
      <c r="V84" s="281">
        <f t="shared" si="76"/>
        <v>0</v>
      </c>
      <c r="W84" s="306">
        <f t="shared" si="76"/>
        <v>0</v>
      </c>
      <c r="X84" s="281">
        <f t="shared" si="73"/>
        <v>1035</v>
      </c>
      <c r="Y84" s="276"/>
    </row>
    <row r="85" spans="2:25">
      <c r="B85" s="416" t="s">
        <v>117</v>
      </c>
      <c r="C85" s="1325"/>
      <c r="D85" s="1325"/>
      <c r="E85" s="1336"/>
      <c r="F85" s="418" t="s">
        <v>83</v>
      </c>
      <c r="G85" s="170" t="s">
        <v>379</v>
      </c>
      <c r="H85" s="420" t="s">
        <v>90</v>
      </c>
      <c r="I85" s="14">
        <f>ROUND(+I72*I84/1000,2)</f>
        <v>1672.59</v>
      </c>
      <c r="J85" s="14">
        <f t="shared" ref="J85:W85" si="77">ROUND(+J72*J84/1000,2)</f>
        <v>643.29999999999995</v>
      </c>
      <c r="K85" s="14">
        <f t="shared" si="77"/>
        <v>385.98</v>
      </c>
      <c r="L85" s="14">
        <f t="shared" si="77"/>
        <v>257.32</v>
      </c>
      <c r="M85" s="14">
        <f t="shared" si="77"/>
        <v>0</v>
      </c>
      <c r="N85" s="14">
        <f t="shared" si="77"/>
        <v>257.32</v>
      </c>
      <c r="O85" s="14">
        <f t="shared" si="77"/>
        <v>0</v>
      </c>
      <c r="P85" s="15">
        <f t="shared" si="77"/>
        <v>343.09</v>
      </c>
      <c r="Q85" s="14">
        <f t="shared" si="77"/>
        <v>1372.38</v>
      </c>
      <c r="R85" s="14">
        <f t="shared" si="77"/>
        <v>857.74</v>
      </c>
      <c r="S85" s="14">
        <f t="shared" si="77"/>
        <v>16404.2</v>
      </c>
      <c r="T85" s="39">
        <f t="shared" si="77"/>
        <v>0</v>
      </c>
      <c r="U85" s="14">
        <f t="shared" si="77"/>
        <v>0</v>
      </c>
      <c r="V85" s="15">
        <f t="shared" si="77"/>
        <v>0</v>
      </c>
      <c r="W85" s="210">
        <f t="shared" si="77"/>
        <v>0</v>
      </c>
      <c r="X85" s="15">
        <f t="shared" si="73"/>
        <v>22193.920000000002</v>
      </c>
      <c r="Y85" s="17"/>
    </row>
    <row r="86" spans="2:25">
      <c r="B86" s="416" t="s">
        <v>319</v>
      </c>
      <c r="C86" s="1325"/>
      <c r="D86" s="1351"/>
      <c r="E86" s="418" t="s">
        <v>106</v>
      </c>
      <c r="F86" s="418" t="s">
        <v>108</v>
      </c>
      <c r="G86" s="170" t="s">
        <v>380</v>
      </c>
      <c r="H86" s="420" t="s">
        <v>90</v>
      </c>
      <c r="I86" s="14">
        <f t="shared" ref="I86:W86" si="78">+ROUND(I61*(I73-I74)*4.186,2)</f>
        <v>3767.4</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15">
        <f t="shared" si="73"/>
        <v>7547.3599999999988</v>
      </c>
      <c r="Y86" s="259" t="s">
        <v>119</v>
      </c>
    </row>
    <row r="87" spans="2:25">
      <c r="B87" s="416" t="s">
        <v>320</v>
      </c>
      <c r="C87" s="1325"/>
      <c r="D87" s="1347" t="s">
        <v>354</v>
      </c>
      <c r="E87" s="1356" t="s">
        <v>355</v>
      </c>
      <c r="F87" s="1356"/>
      <c r="G87" s="170" t="s">
        <v>356</v>
      </c>
      <c r="H87" s="385" t="s">
        <v>357</v>
      </c>
      <c r="I87" s="187">
        <f>ROUND(+I85*I75/100/3.6,2)</f>
        <v>162.61000000000001</v>
      </c>
      <c r="J87" s="187">
        <f t="shared" ref="J87:W87" si="79">ROUND(+J85*J75/100/3.6,2)</f>
        <v>62.54</v>
      </c>
      <c r="K87" s="187">
        <f t="shared" si="79"/>
        <v>37.53</v>
      </c>
      <c r="L87" s="187">
        <f t="shared" si="79"/>
        <v>25.02</v>
      </c>
      <c r="M87" s="187">
        <f t="shared" si="79"/>
        <v>0</v>
      </c>
      <c r="N87" s="187">
        <f t="shared" si="79"/>
        <v>25.02</v>
      </c>
      <c r="O87" s="187">
        <f t="shared" si="79"/>
        <v>0</v>
      </c>
      <c r="P87" s="187">
        <f t="shared" si="79"/>
        <v>33.36</v>
      </c>
      <c r="Q87" s="187">
        <f t="shared" si="79"/>
        <v>133.43</v>
      </c>
      <c r="R87" s="187">
        <f t="shared" si="79"/>
        <v>83.39</v>
      </c>
      <c r="S87" s="187">
        <f t="shared" si="79"/>
        <v>1594.85</v>
      </c>
      <c r="T87" s="187">
        <f t="shared" si="79"/>
        <v>0</v>
      </c>
      <c r="U87" s="187">
        <f t="shared" si="79"/>
        <v>0</v>
      </c>
      <c r="V87" s="187">
        <f t="shared" si="79"/>
        <v>0</v>
      </c>
      <c r="W87" s="309">
        <f t="shared" si="79"/>
        <v>0</v>
      </c>
      <c r="X87" s="15">
        <f>SUM(I87:W87)</f>
        <v>2157.75</v>
      </c>
      <c r="Y87" s="415" t="s">
        <v>412</v>
      </c>
    </row>
    <row r="88" spans="2:25">
      <c r="B88" s="416" t="s">
        <v>321</v>
      </c>
      <c r="C88" s="1325"/>
      <c r="D88" s="1348"/>
      <c r="E88" s="1356" t="s">
        <v>358</v>
      </c>
      <c r="F88" s="1356"/>
      <c r="G88" s="170" t="s">
        <v>359</v>
      </c>
      <c r="H88" s="385" t="s">
        <v>357</v>
      </c>
      <c r="I88" s="187">
        <f t="shared" ref="I88:W88" si="80">ROUND(+I87*I76,2)</f>
        <v>151.22999999999999</v>
      </c>
      <c r="J88" s="187">
        <f t="shared" si="80"/>
        <v>58.16</v>
      </c>
      <c r="K88" s="187">
        <f t="shared" si="80"/>
        <v>34.9</v>
      </c>
      <c r="L88" s="187">
        <f t="shared" si="80"/>
        <v>23.27</v>
      </c>
      <c r="M88" s="187">
        <f t="shared" si="80"/>
        <v>0</v>
      </c>
      <c r="N88" s="187">
        <f t="shared" si="80"/>
        <v>23.27</v>
      </c>
      <c r="O88" s="187">
        <f t="shared" si="80"/>
        <v>0</v>
      </c>
      <c r="P88" s="187">
        <f t="shared" si="80"/>
        <v>31.02</v>
      </c>
      <c r="Q88" s="187">
        <f t="shared" si="80"/>
        <v>124.09</v>
      </c>
      <c r="R88" s="187">
        <f t="shared" si="80"/>
        <v>77.55</v>
      </c>
      <c r="S88" s="187">
        <f t="shared" si="80"/>
        <v>1483.21</v>
      </c>
      <c r="T88" s="187">
        <f t="shared" si="80"/>
        <v>0</v>
      </c>
      <c r="U88" s="187">
        <f t="shared" si="80"/>
        <v>0</v>
      </c>
      <c r="V88" s="187">
        <f t="shared" si="80"/>
        <v>0</v>
      </c>
      <c r="W88" s="309">
        <f t="shared" si="80"/>
        <v>0</v>
      </c>
      <c r="X88" s="15">
        <f>SUM(I88:W88)</f>
        <v>2006.6999999999998</v>
      </c>
      <c r="Y88" s="1342"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416" t="s">
        <v>322</v>
      </c>
      <c r="C89" s="1325"/>
      <c r="D89" s="1349"/>
      <c r="E89" s="1344" t="s">
        <v>360</v>
      </c>
      <c r="F89" s="1345"/>
      <c r="G89" s="170" t="s">
        <v>361</v>
      </c>
      <c r="H89" s="385" t="s">
        <v>90</v>
      </c>
      <c r="I89" s="187">
        <f>+ROUND(I85*I77/100,2)</f>
        <v>836.3</v>
      </c>
      <c r="J89" s="187">
        <f t="shared" ref="J89:W89" si="81">+ROUND(J85*J77/100,2)</f>
        <v>321.64999999999998</v>
      </c>
      <c r="K89" s="187">
        <f t="shared" si="81"/>
        <v>192.99</v>
      </c>
      <c r="L89" s="187">
        <f t="shared" si="81"/>
        <v>128.66</v>
      </c>
      <c r="M89" s="187">
        <f t="shared" si="81"/>
        <v>0</v>
      </c>
      <c r="N89" s="187">
        <f t="shared" si="81"/>
        <v>128.66</v>
      </c>
      <c r="O89" s="187">
        <f t="shared" si="81"/>
        <v>0</v>
      </c>
      <c r="P89" s="187">
        <f t="shared" si="81"/>
        <v>171.55</v>
      </c>
      <c r="Q89" s="187">
        <f t="shared" si="81"/>
        <v>686.19</v>
      </c>
      <c r="R89" s="187">
        <f t="shared" si="81"/>
        <v>428.87</v>
      </c>
      <c r="S89" s="187">
        <f t="shared" si="81"/>
        <v>8202.1</v>
      </c>
      <c r="T89" s="187">
        <f t="shared" si="81"/>
        <v>0</v>
      </c>
      <c r="U89" s="187">
        <f t="shared" si="81"/>
        <v>0</v>
      </c>
      <c r="V89" s="187">
        <f t="shared" si="81"/>
        <v>0</v>
      </c>
      <c r="W89" s="309">
        <f t="shared" si="81"/>
        <v>0</v>
      </c>
      <c r="X89" s="15">
        <f>SUM(I89:W89)</f>
        <v>11096.970000000001</v>
      </c>
      <c r="Y89" s="1343"/>
    </row>
    <row r="90" spans="2:25">
      <c r="B90" s="416" t="s">
        <v>323</v>
      </c>
      <c r="C90" s="1325"/>
      <c r="D90" s="1308" t="s">
        <v>30</v>
      </c>
      <c r="E90" s="1336" t="s">
        <v>29</v>
      </c>
      <c r="F90" s="1336"/>
      <c r="G90" s="170" t="str">
        <f>"=c"</f>
        <v>=c</v>
      </c>
      <c r="H90" s="420" t="s">
        <v>0</v>
      </c>
      <c r="I90" s="14">
        <f t="shared" ref="I90:W90" si="82">+I61</f>
        <v>36</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15">
        <f t="shared" si="73"/>
        <v>72.12</v>
      </c>
      <c r="Y90" s="259"/>
    </row>
    <row r="91" spans="2:25">
      <c r="B91" s="416" t="s">
        <v>324</v>
      </c>
      <c r="C91" s="1325"/>
      <c r="D91" s="1308"/>
      <c r="E91" s="1336" t="s">
        <v>84</v>
      </c>
      <c r="F91" s="1336"/>
      <c r="G91" s="170" t="s">
        <v>381</v>
      </c>
      <c r="H91" s="420" t="s">
        <v>53</v>
      </c>
      <c r="I91" s="14">
        <f>IF(I90=0,0,ROUND(+I83/I90*100,2))</f>
        <v>1.1399999999999999</v>
      </c>
      <c r="J91" s="14">
        <f t="shared" ref="J91:X91" si="83">IF(J90=0,0,ROUND(+J83/J90*100,2))</f>
        <v>11.67</v>
      </c>
      <c r="K91" s="14">
        <f t="shared" si="83"/>
        <v>11.9</v>
      </c>
      <c r="L91" s="14">
        <f t="shared" si="83"/>
        <v>13.33</v>
      </c>
      <c r="M91" s="14">
        <f t="shared" si="83"/>
        <v>0</v>
      </c>
      <c r="N91" s="14">
        <f t="shared" si="83"/>
        <v>11.11</v>
      </c>
      <c r="O91" s="14">
        <f t="shared" si="83"/>
        <v>1.67</v>
      </c>
      <c r="P91" s="14">
        <f t="shared" si="83"/>
        <v>1.94</v>
      </c>
      <c r="Q91" s="14">
        <f t="shared" si="83"/>
        <v>0.83</v>
      </c>
      <c r="R91" s="14">
        <f t="shared" si="83"/>
        <v>1.5</v>
      </c>
      <c r="S91" s="14">
        <f t="shared" si="83"/>
        <v>8.1300000000000008</v>
      </c>
      <c r="T91" s="14">
        <f t="shared" si="83"/>
        <v>0</v>
      </c>
      <c r="U91" s="14">
        <f t="shared" si="83"/>
        <v>0</v>
      </c>
      <c r="V91" s="14">
        <f t="shared" si="83"/>
        <v>0</v>
      </c>
      <c r="W91" s="210">
        <f t="shared" si="83"/>
        <v>0</v>
      </c>
      <c r="X91" s="15">
        <f t="shared" si="83"/>
        <v>2.0499999999999998</v>
      </c>
      <c r="Y91" s="259"/>
    </row>
    <row r="92" spans="2:25">
      <c r="B92" s="416" t="s">
        <v>325</v>
      </c>
      <c r="C92" s="1325"/>
      <c r="D92" s="1308"/>
      <c r="E92" s="1336" t="s">
        <v>85</v>
      </c>
      <c r="F92" s="1336"/>
      <c r="G92" s="170" t="s">
        <v>382</v>
      </c>
      <c r="H92" s="420" t="s">
        <v>0</v>
      </c>
      <c r="I92" s="14">
        <f>ROUND(+I83/(1-I78/100),2)</f>
        <v>2.73</v>
      </c>
      <c r="J92" s="14">
        <f t="shared" ref="J92:W92" si="84">ROUND(+J83/(1-J78/100),2)</f>
        <v>0.93</v>
      </c>
      <c r="K92" s="14">
        <f t="shared" si="84"/>
        <v>0.67</v>
      </c>
      <c r="L92" s="14">
        <f t="shared" si="84"/>
        <v>0.53</v>
      </c>
      <c r="M92" s="14">
        <f t="shared" si="84"/>
        <v>0</v>
      </c>
      <c r="N92" s="14">
        <f t="shared" si="84"/>
        <v>0.27</v>
      </c>
      <c r="O92" s="14">
        <f t="shared" si="84"/>
        <v>7.0000000000000007E-2</v>
      </c>
      <c r="P92" s="14">
        <f t="shared" si="84"/>
        <v>0.47</v>
      </c>
      <c r="Q92" s="14">
        <f t="shared" si="84"/>
        <v>1</v>
      </c>
      <c r="R92" s="14">
        <f t="shared" si="84"/>
        <v>0.6</v>
      </c>
      <c r="S92" s="14">
        <f t="shared" si="84"/>
        <v>2.6</v>
      </c>
      <c r="T92" s="14">
        <f t="shared" si="84"/>
        <v>0</v>
      </c>
      <c r="U92" s="14">
        <f t="shared" si="84"/>
        <v>0</v>
      </c>
      <c r="V92" s="14">
        <f t="shared" si="84"/>
        <v>0</v>
      </c>
      <c r="W92" s="210">
        <f t="shared" si="84"/>
        <v>0</v>
      </c>
      <c r="X92" s="15">
        <f t="shared" ref="X92:X98" si="85">+SUM(I92:V92)</f>
        <v>9.870000000000001</v>
      </c>
      <c r="Y92" s="259"/>
    </row>
    <row r="93" spans="2:25" ht="13.5" customHeight="1">
      <c r="B93" s="416" t="s">
        <v>326</v>
      </c>
      <c r="C93" s="1325"/>
      <c r="D93" s="1308"/>
      <c r="E93" s="1336" t="s">
        <v>86</v>
      </c>
      <c r="F93" s="1336"/>
      <c r="G93" s="170" t="str">
        <f>"=③"</f>
        <v>=③</v>
      </c>
      <c r="H93" s="420" t="s">
        <v>38</v>
      </c>
      <c r="I93" s="14">
        <f>+I83</f>
        <v>0.41000000000000003</v>
      </c>
      <c r="J93" s="14">
        <f t="shared" ref="J93:W93" si="86">+J83</f>
        <v>0.14000000000000001</v>
      </c>
      <c r="K93" s="14">
        <f t="shared" si="86"/>
        <v>0.1</v>
      </c>
      <c r="L93" s="14">
        <f t="shared" si="86"/>
        <v>0.08</v>
      </c>
      <c r="M93" s="14">
        <f t="shared" si="86"/>
        <v>0</v>
      </c>
      <c r="N93" s="14">
        <f t="shared" si="86"/>
        <v>3.9999999999999994E-2</v>
      </c>
      <c r="O93" s="14">
        <f t="shared" si="86"/>
        <v>0.01</v>
      </c>
      <c r="P93" s="14">
        <f t="shared" si="86"/>
        <v>6.9999999999999993E-2</v>
      </c>
      <c r="Q93" s="14">
        <f t="shared" si="86"/>
        <v>0.15000000000000002</v>
      </c>
      <c r="R93" s="14">
        <f t="shared" si="86"/>
        <v>9.0000000000000011E-2</v>
      </c>
      <c r="S93" s="14">
        <f t="shared" si="86"/>
        <v>0.39</v>
      </c>
      <c r="T93" s="14">
        <f t="shared" si="86"/>
        <v>0</v>
      </c>
      <c r="U93" s="14">
        <f t="shared" si="86"/>
        <v>0</v>
      </c>
      <c r="V93" s="14">
        <f t="shared" si="86"/>
        <v>0</v>
      </c>
      <c r="W93" s="210">
        <f t="shared" si="86"/>
        <v>0</v>
      </c>
      <c r="X93" s="15">
        <f t="shared" si="85"/>
        <v>1.48</v>
      </c>
      <c r="Y93" s="259"/>
    </row>
    <row r="94" spans="2:25" ht="15.75">
      <c r="B94" s="416" t="s">
        <v>327</v>
      </c>
      <c r="C94" s="1325"/>
      <c r="D94" s="1308"/>
      <c r="E94" s="1336" t="s">
        <v>87</v>
      </c>
      <c r="F94" s="1336"/>
      <c r="G94" s="185" t="s">
        <v>383</v>
      </c>
      <c r="H94" s="420" t="s">
        <v>164</v>
      </c>
      <c r="I94" s="51">
        <f t="shared" ref="I94:W94" si="87">+I61-I92</f>
        <v>33.270000000000003</v>
      </c>
      <c r="J94" s="51">
        <f t="shared" si="87"/>
        <v>0.26999999999999991</v>
      </c>
      <c r="K94" s="51">
        <f t="shared" si="87"/>
        <v>0.16999999999999993</v>
      </c>
      <c r="L94" s="51">
        <f t="shared" si="87"/>
        <v>6.9999999999999951E-2</v>
      </c>
      <c r="M94" s="51">
        <f t="shared" si="87"/>
        <v>0.12</v>
      </c>
      <c r="N94" s="51">
        <f t="shared" si="87"/>
        <v>8.9999999999999969E-2</v>
      </c>
      <c r="O94" s="51">
        <f t="shared" si="87"/>
        <v>0.53</v>
      </c>
      <c r="P94" s="31">
        <f t="shared" si="87"/>
        <v>3.13</v>
      </c>
      <c r="Q94" s="31">
        <f t="shared" si="87"/>
        <v>17</v>
      </c>
      <c r="R94" s="31">
        <f t="shared" si="87"/>
        <v>5.4</v>
      </c>
      <c r="S94" s="31">
        <f t="shared" si="87"/>
        <v>2.1999999999999997</v>
      </c>
      <c r="T94" s="14">
        <f t="shared" si="87"/>
        <v>0</v>
      </c>
      <c r="U94" s="14">
        <f t="shared" si="87"/>
        <v>0</v>
      </c>
      <c r="V94" s="14">
        <f t="shared" si="87"/>
        <v>0</v>
      </c>
      <c r="W94" s="210">
        <f t="shared" si="87"/>
        <v>0</v>
      </c>
      <c r="X94" s="15">
        <f t="shared" si="85"/>
        <v>62.250000000000014</v>
      </c>
      <c r="Y94" s="259"/>
    </row>
    <row r="95" spans="2:25">
      <c r="B95" s="176" t="s">
        <v>337</v>
      </c>
      <c r="C95" s="1325"/>
      <c r="D95" s="1308" t="s">
        <v>101</v>
      </c>
      <c r="E95" s="1330" t="s">
        <v>109</v>
      </c>
      <c r="F95" s="1330"/>
      <c r="G95" s="170" t="s">
        <v>384</v>
      </c>
      <c r="H95" s="426" t="s">
        <v>0</v>
      </c>
      <c r="I95" s="11">
        <f>+ROUND(I93/(1-I79/100),2)</f>
        <v>0.55000000000000004</v>
      </c>
      <c r="J95" s="11">
        <f t="shared" ref="J95:W95" si="88">+ROUND(J93/(1-J79/100),2)</f>
        <v>0.19</v>
      </c>
      <c r="K95" s="11">
        <f t="shared" si="88"/>
        <v>0.13</v>
      </c>
      <c r="L95" s="11">
        <f t="shared" si="88"/>
        <v>0.11</v>
      </c>
      <c r="M95" s="11">
        <f t="shared" si="88"/>
        <v>0</v>
      </c>
      <c r="N95" s="11">
        <f t="shared" si="88"/>
        <v>0.05</v>
      </c>
      <c r="O95" s="11">
        <f t="shared" si="88"/>
        <v>0.01</v>
      </c>
      <c r="P95" s="10">
        <f t="shared" si="88"/>
        <v>0.09</v>
      </c>
      <c r="Q95" s="11">
        <f t="shared" si="88"/>
        <v>0.2</v>
      </c>
      <c r="R95" s="11">
        <f t="shared" si="88"/>
        <v>0.12</v>
      </c>
      <c r="S95" s="12">
        <f t="shared" si="88"/>
        <v>0.52</v>
      </c>
      <c r="T95" s="12">
        <f t="shared" si="88"/>
        <v>0</v>
      </c>
      <c r="U95" s="12">
        <f t="shared" si="88"/>
        <v>0</v>
      </c>
      <c r="V95" s="12">
        <f t="shared" si="88"/>
        <v>0</v>
      </c>
      <c r="W95" s="211">
        <f t="shared" si="88"/>
        <v>0</v>
      </c>
      <c r="X95" s="10">
        <f t="shared" si="85"/>
        <v>1.9700000000000002</v>
      </c>
      <c r="Y95" s="260"/>
    </row>
    <row r="96" spans="2:25">
      <c r="B96" s="416" t="s">
        <v>362</v>
      </c>
      <c r="C96" s="1325"/>
      <c r="D96" s="1308"/>
      <c r="E96" s="1336" t="s">
        <v>110</v>
      </c>
      <c r="F96" s="1336"/>
      <c r="G96" s="170" t="str">
        <f>"=⑬"</f>
        <v>=⑬</v>
      </c>
      <c r="H96" s="420" t="s">
        <v>38</v>
      </c>
      <c r="I96" s="14">
        <f t="shared" ref="I96:W96" si="89">+I93</f>
        <v>0.41000000000000003</v>
      </c>
      <c r="J96" s="14">
        <f t="shared" si="89"/>
        <v>0.14000000000000001</v>
      </c>
      <c r="K96" s="14">
        <f t="shared" si="89"/>
        <v>0.1</v>
      </c>
      <c r="L96" s="14">
        <f t="shared" si="89"/>
        <v>0.08</v>
      </c>
      <c r="M96" s="14">
        <f t="shared" si="89"/>
        <v>0</v>
      </c>
      <c r="N96" s="14">
        <f t="shared" si="89"/>
        <v>3.9999999999999994E-2</v>
      </c>
      <c r="O96" s="14">
        <f t="shared" si="89"/>
        <v>0.01</v>
      </c>
      <c r="P96" s="15">
        <f t="shared" si="89"/>
        <v>6.9999999999999993E-2</v>
      </c>
      <c r="Q96" s="14">
        <f t="shared" si="89"/>
        <v>0.15000000000000002</v>
      </c>
      <c r="R96" s="14">
        <f t="shared" si="89"/>
        <v>9.0000000000000011E-2</v>
      </c>
      <c r="S96" s="14">
        <f t="shared" si="89"/>
        <v>0.39</v>
      </c>
      <c r="T96" s="14">
        <f t="shared" si="89"/>
        <v>0</v>
      </c>
      <c r="U96" s="39">
        <f t="shared" si="89"/>
        <v>0</v>
      </c>
      <c r="V96" s="14">
        <f t="shared" si="89"/>
        <v>0</v>
      </c>
      <c r="W96" s="210">
        <f t="shared" si="89"/>
        <v>0</v>
      </c>
      <c r="X96" s="15">
        <f t="shared" si="85"/>
        <v>1.48</v>
      </c>
      <c r="Y96" s="259"/>
    </row>
    <row r="97" spans="2:25">
      <c r="B97" s="416" t="s">
        <v>363</v>
      </c>
      <c r="C97" s="1325"/>
      <c r="D97" s="1308"/>
      <c r="E97" s="1336" t="s">
        <v>111</v>
      </c>
      <c r="F97" s="1336"/>
      <c r="G97" s="170" t="s">
        <v>385</v>
      </c>
      <c r="H97" s="420" t="s">
        <v>0</v>
      </c>
      <c r="I97" s="14">
        <f t="shared" ref="I97:W97" si="90">+I92-I95</f>
        <v>2.1799999999999997</v>
      </c>
      <c r="J97" s="14">
        <f t="shared" si="90"/>
        <v>0.74</v>
      </c>
      <c r="K97" s="14">
        <f t="shared" si="90"/>
        <v>0.54</v>
      </c>
      <c r="L97" s="14">
        <f t="shared" si="90"/>
        <v>0.42000000000000004</v>
      </c>
      <c r="M97" s="14">
        <f t="shared" si="90"/>
        <v>0</v>
      </c>
      <c r="N97" s="14">
        <f t="shared" si="90"/>
        <v>0.22000000000000003</v>
      </c>
      <c r="O97" s="14">
        <f t="shared" si="90"/>
        <v>6.0000000000000005E-2</v>
      </c>
      <c r="P97" s="15">
        <f t="shared" si="90"/>
        <v>0.38</v>
      </c>
      <c r="Q97" s="14">
        <f t="shared" si="90"/>
        <v>0.8</v>
      </c>
      <c r="R97" s="14">
        <f t="shared" si="90"/>
        <v>0.48</v>
      </c>
      <c r="S97" s="16">
        <f t="shared" si="90"/>
        <v>2.08</v>
      </c>
      <c r="T97" s="16">
        <f t="shared" si="90"/>
        <v>0</v>
      </c>
      <c r="U97" s="16">
        <f t="shared" si="90"/>
        <v>0</v>
      </c>
      <c r="V97" s="16">
        <f t="shared" si="90"/>
        <v>0</v>
      </c>
      <c r="W97" s="210">
        <f t="shared" si="90"/>
        <v>0</v>
      </c>
      <c r="X97" s="15">
        <f t="shared" si="85"/>
        <v>7.8999999999999986</v>
      </c>
      <c r="Y97" s="259"/>
    </row>
    <row r="98" spans="2:25" ht="40.5">
      <c r="B98" s="416" t="s">
        <v>364</v>
      </c>
      <c r="C98" s="1325"/>
      <c r="D98" s="1308"/>
      <c r="E98" s="1336" t="s">
        <v>108</v>
      </c>
      <c r="F98" s="1336"/>
      <c r="G98" s="186" t="s">
        <v>386</v>
      </c>
      <c r="H98" s="420" t="s">
        <v>90</v>
      </c>
      <c r="I98" s="14">
        <f>+ROUND((100-I80)*(I92-I96)*4.186+I97*2258+(100-I80)*I96*0.3*4.184,2)</f>
        <v>5791.66</v>
      </c>
      <c r="J98" s="14">
        <f t="shared" ref="J98:W98" si="91">+ROUND((100-J80)*(J92-J96)*4.186+J97*2258+(100-J80)*J96*0.3*4.184,2)</f>
        <v>1966.95</v>
      </c>
      <c r="K98" s="14">
        <f t="shared" si="91"/>
        <v>1432.8</v>
      </c>
      <c r="L98" s="14">
        <f t="shared" si="91"/>
        <v>1117.01</v>
      </c>
      <c r="M98" s="14">
        <f t="shared" si="91"/>
        <v>0</v>
      </c>
      <c r="N98" s="14">
        <f t="shared" si="91"/>
        <v>582.86</v>
      </c>
      <c r="O98" s="14">
        <f t="shared" si="91"/>
        <v>157.9</v>
      </c>
      <c r="P98" s="15">
        <f t="shared" si="91"/>
        <v>1007.83</v>
      </c>
      <c r="Q98" s="14">
        <f t="shared" si="91"/>
        <v>2124.84</v>
      </c>
      <c r="R98" s="14">
        <f t="shared" si="91"/>
        <v>1274.9100000000001</v>
      </c>
      <c r="S98" s="16">
        <f t="shared" si="91"/>
        <v>5524.59</v>
      </c>
      <c r="T98" s="16">
        <f t="shared" si="91"/>
        <v>0</v>
      </c>
      <c r="U98" s="16">
        <f t="shared" si="91"/>
        <v>0</v>
      </c>
      <c r="V98" s="16">
        <f t="shared" si="91"/>
        <v>0</v>
      </c>
      <c r="W98" s="210">
        <f t="shared" si="91"/>
        <v>0</v>
      </c>
      <c r="X98" s="15">
        <f t="shared" si="85"/>
        <v>20981.35</v>
      </c>
      <c r="Y98" s="261" t="s">
        <v>112</v>
      </c>
    </row>
    <row r="99" spans="2:25">
      <c r="B99" s="188" t="s">
        <v>365</v>
      </c>
      <c r="C99" s="1325"/>
      <c r="D99" s="1347" t="s">
        <v>127</v>
      </c>
      <c r="E99" s="1337" t="s">
        <v>128</v>
      </c>
      <c r="F99" s="177" t="s">
        <v>369</v>
      </c>
      <c r="G99" s="178" t="s">
        <v>387</v>
      </c>
      <c r="H99" s="1221"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366</v>
      </c>
      <c r="C100" s="1325"/>
      <c r="D100" s="1348"/>
      <c r="E100" s="1338"/>
      <c r="F100" s="179" t="s">
        <v>370</v>
      </c>
      <c r="G100" s="178" t="s">
        <v>388</v>
      </c>
      <c r="H100" s="1221"/>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173</v>
      </c>
      <c r="Y100" s="415"/>
    </row>
    <row r="101" spans="2:25">
      <c r="B101" s="188" t="s">
        <v>367</v>
      </c>
      <c r="C101" s="1325"/>
      <c r="D101" s="1348"/>
      <c r="E101" s="1338"/>
      <c r="F101" s="179" t="s">
        <v>371</v>
      </c>
      <c r="G101" s="178" t="s">
        <v>389</v>
      </c>
      <c r="H101" s="1221"/>
      <c r="I101" s="208" t="str">
        <f t="shared" ref="I101:W101" si="94">IFERROR(IF(I89&gt;=I86,IF((I86-I85-I89)/J99&lt;0,0,+ROUND((I86-I85-I89)/J99,0)),"-"),0)</f>
        <v>-</v>
      </c>
      <c r="J101" s="208">
        <f t="shared" si="94"/>
        <v>0</v>
      </c>
      <c r="K101" s="208">
        <f t="shared" si="94"/>
        <v>0</v>
      </c>
      <c r="L101" s="208">
        <f t="shared" si="94"/>
        <v>0</v>
      </c>
      <c r="M101" s="208" t="str">
        <f t="shared" si="94"/>
        <v>-</v>
      </c>
      <c r="N101" s="208">
        <f t="shared" si="94"/>
        <v>0</v>
      </c>
      <c r="O101" s="208" t="str">
        <f t="shared" si="94"/>
        <v>-</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415"/>
    </row>
    <row r="102" spans="2:25" ht="14.25" thickBot="1">
      <c r="B102" s="305" t="s">
        <v>368</v>
      </c>
      <c r="C102" s="1335"/>
      <c r="D102" s="1357"/>
      <c r="E102" s="1358"/>
      <c r="F102" s="180" t="s">
        <v>372</v>
      </c>
      <c r="G102" s="181" t="s">
        <v>373</v>
      </c>
      <c r="H102" s="1379"/>
      <c r="I102" s="209" t="str">
        <f t="shared" ref="I102:W102" si="95">IFERROR(IF(I89&gt;=I86,ROUND((I86+I98-I89)/J99,0),"-"),0)</f>
        <v>-</v>
      </c>
      <c r="J102" s="209">
        <f t="shared" si="95"/>
        <v>0</v>
      </c>
      <c r="K102" s="209">
        <f t="shared" si="95"/>
        <v>0</v>
      </c>
      <c r="L102" s="209">
        <f t="shared" si="95"/>
        <v>0</v>
      </c>
      <c r="M102" s="209" t="str">
        <f t="shared" si="95"/>
        <v>-</v>
      </c>
      <c r="N102" s="209">
        <f t="shared" si="95"/>
        <v>0</v>
      </c>
      <c r="O102" s="209" t="str">
        <f t="shared" si="95"/>
        <v>-</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475</v>
      </c>
      <c r="Y102" s="197"/>
    </row>
    <row r="110" spans="2:25" ht="30.6" customHeight="1"/>
    <row r="111" spans="2:25" ht="30.6" customHeight="1"/>
  </sheetData>
  <mergeCells count="156">
    <mergeCell ref="Y70:Y80"/>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rintOptions horizontalCentered="1"/>
  <pageMargins left="0" right="0" top="0" bottom="0" header="0.31496062992125984" footer="0.31496062992125984"/>
  <pageSetup paperSize="8" scale="61" orientation="landscape" r:id="rId1"/>
  <colBreaks count="1" manualBreakCount="1">
    <brk id="25" min="2" max="10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N36"/>
  <sheetViews>
    <sheetView workbookViewId="0"/>
  </sheetViews>
  <sheetFormatPr defaultRowHeight="13.5"/>
  <cols>
    <col min="2" max="2" width="19.7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454</v>
      </c>
      <c r="C2" t="s">
        <v>573</v>
      </c>
    </row>
    <row r="3" spans="2:14" ht="15.75" customHeight="1">
      <c r="B3" s="1399" t="s">
        <v>23</v>
      </c>
      <c r="C3" s="1400"/>
      <c r="D3" s="1400"/>
      <c r="E3" s="1400"/>
      <c r="F3" s="441" t="s">
        <v>24</v>
      </c>
      <c r="G3" s="231" t="s">
        <v>37</v>
      </c>
      <c r="H3" s="232" t="s">
        <v>25</v>
      </c>
      <c r="J3" s="234" t="s">
        <v>448</v>
      </c>
      <c r="K3" s="235"/>
      <c r="L3" s="235"/>
      <c r="M3" s="235"/>
      <c r="N3" s="236"/>
    </row>
    <row r="4" spans="2:14" ht="15" customHeight="1">
      <c r="B4" s="1401" t="s">
        <v>177</v>
      </c>
      <c r="C4" s="1403" t="s">
        <v>173</v>
      </c>
      <c r="D4" s="442" t="str">
        <f>③基本情報入力【例】!L13</f>
        <v>濃縮汚泥</v>
      </c>
      <c r="E4" s="1404" t="s">
        <v>174</v>
      </c>
      <c r="F4" s="1405" t="s">
        <v>1</v>
      </c>
      <c r="G4" s="55">
        <f>+ROUNDUP('物質収支（既存）【例】'!I59,0)*H4</f>
        <v>72</v>
      </c>
      <c r="H4" s="445">
        <v>2</v>
      </c>
      <c r="J4" s="237" t="s">
        <v>449</v>
      </c>
      <c r="K4" s="238"/>
      <c r="L4" s="238"/>
      <c r="M4" s="238"/>
      <c r="N4" s="239"/>
    </row>
    <row r="5" spans="2:14">
      <c r="B5" s="1401"/>
      <c r="C5" s="1403"/>
      <c r="D5" s="442" t="str">
        <f>'物質収支（既存）【例】'!P57&amp;"・"&amp;'物質収支（既存）【例】'!Q57</f>
        <v>し尿・浄化槽汚泥</v>
      </c>
      <c r="E5" s="1404"/>
      <c r="F5" s="1405"/>
      <c r="G5" s="55">
        <f>ROUNDUP(('物質収支（既存）【例】'!P59+'物質収支（既存）【例】'!Q59)*H5,0)</f>
        <v>22</v>
      </c>
      <c r="H5" s="445">
        <v>1</v>
      </c>
      <c r="J5" s="240" t="s">
        <v>181</v>
      </c>
      <c r="K5" s="238" t="s">
        <v>197</v>
      </c>
      <c r="L5" s="238"/>
      <c r="M5" s="238"/>
      <c r="N5" s="239"/>
    </row>
    <row r="6" spans="2:14">
      <c r="B6" s="1401"/>
      <c r="C6" s="1403"/>
      <c r="D6" s="442" t="str">
        <f>'物質収支（既存）【例】'!R57</f>
        <v>集落排水汚泥</v>
      </c>
      <c r="E6" s="1404"/>
      <c r="F6" s="1405"/>
      <c r="G6" s="55">
        <f>+ROUNDUP('物質収支（既存）【例】'!R59,0)*H6</f>
        <v>12</v>
      </c>
      <c r="H6" s="445">
        <v>2</v>
      </c>
      <c r="J6" s="241" t="s">
        <v>180</v>
      </c>
      <c r="K6" s="238" t="s">
        <v>198</v>
      </c>
      <c r="L6" s="238"/>
      <c r="M6" s="238"/>
      <c r="N6" s="239"/>
    </row>
    <row r="7" spans="2:14">
      <c r="B7" s="1401"/>
      <c r="C7" s="1403"/>
      <c r="D7" s="442" t="str">
        <f>+'物質収支（既存）【例】'!S57</f>
        <v>生ごみ</v>
      </c>
      <c r="E7" s="1404"/>
      <c r="F7" s="1405"/>
      <c r="G7" s="55">
        <f>+ROUNDUP('物質収支（既存）【例】'!S59,0)*H7</f>
        <v>10</v>
      </c>
      <c r="H7" s="445">
        <v>2</v>
      </c>
      <c r="J7" s="241"/>
      <c r="K7" s="238"/>
      <c r="L7" s="238"/>
      <c r="M7" s="238"/>
      <c r="N7" s="239"/>
    </row>
    <row r="8" spans="2:14">
      <c r="B8" s="1401"/>
      <c r="C8" s="1403"/>
      <c r="D8" s="442">
        <f>+'物質収支（既存）【例】'!T57</f>
        <v>0</v>
      </c>
      <c r="E8" s="1404"/>
      <c r="F8" s="1405"/>
      <c r="G8" s="55">
        <f>+ROUNDUP('物質収支（既存）【例】'!T59,0)*H8</f>
        <v>0</v>
      </c>
      <c r="H8" s="445">
        <v>2</v>
      </c>
      <c r="J8" s="241"/>
      <c r="K8" s="238"/>
      <c r="L8" s="238"/>
      <c r="M8" s="238"/>
      <c r="N8" s="239"/>
    </row>
    <row r="9" spans="2:14">
      <c r="B9" s="1401"/>
      <c r="C9" s="1403"/>
      <c r="D9" s="442">
        <f>+'物質収支（既存）【例】'!U57</f>
        <v>0</v>
      </c>
      <c r="E9" s="1404"/>
      <c r="F9" s="1405"/>
      <c r="G9" s="55">
        <f>+ROUNDUP('物質収支（既存）【例】'!U59,0)*H9</f>
        <v>0</v>
      </c>
      <c r="H9" s="445">
        <v>2</v>
      </c>
      <c r="J9" s="241"/>
      <c r="K9" s="238"/>
      <c r="L9" s="238"/>
      <c r="M9" s="238"/>
      <c r="N9" s="239"/>
    </row>
    <row r="10" spans="2:14">
      <c r="B10" s="1401"/>
      <c r="C10" s="1403"/>
      <c r="D10" s="442">
        <f>+'物質収支（既存）【例】'!V57</f>
        <v>0</v>
      </c>
      <c r="E10" s="1404"/>
      <c r="F10" s="1405"/>
      <c r="G10" s="55">
        <f>+ROUNDUP('物質収支（既存）【例】'!V59,0)*H10</f>
        <v>0</v>
      </c>
      <c r="H10" s="445">
        <v>2</v>
      </c>
      <c r="J10" s="241"/>
      <c r="K10" s="238"/>
      <c r="L10" s="238"/>
      <c r="M10" s="238"/>
      <c r="N10" s="239"/>
    </row>
    <row r="11" spans="2:14" ht="15.75">
      <c r="B11" s="1401"/>
      <c r="C11" s="1403" t="s">
        <v>175</v>
      </c>
      <c r="D11" s="1403"/>
      <c r="E11" s="443" t="s">
        <v>176</v>
      </c>
      <c r="F11" s="444" t="s">
        <v>1</v>
      </c>
      <c r="G11" s="55">
        <f>ROUNDUP('計算条件（既存）【例】'!G86,-1)</f>
        <v>70</v>
      </c>
      <c r="H11" s="446"/>
      <c r="J11" s="237" t="s">
        <v>450</v>
      </c>
      <c r="K11" s="238"/>
      <c r="L11" s="238"/>
      <c r="M11" s="238"/>
      <c r="N11" s="239"/>
    </row>
    <row r="12" spans="2:14" ht="15.75">
      <c r="B12" s="1401"/>
      <c r="C12" s="1406" t="s">
        <v>178</v>
      </c>
      <c r="D12" s="1403" t="s">
        <v>32</v>
      </c>
      <c r="E12" s="443" t="s">
        <v>28</v>
      </c>
      <c r="F12" s="323" t="s">
        <v>492</v>
      </c>
      <c r="G12" s="324">
        <f>+'物質収支（既存）【例】'!X13/ROUNDUP('計算条件（既存）【例】'!G86*25,-1)*1000</f>
        <v>1.2582781456953642</v>
      </c>
      <c r="H12" s="447" t="s">
        <v>493</v>
      </c>
      <c r="J12" s="241"/>
      <c r="K12" s="238"/>
      <c r="L12" s="238"/>
      <c r="M12" s="238"/>
      <c r="N12" s="239"/>
    </row>
    <row r="13" spans="2:14" ht="15.75">
      <c r="B13" s="1401"/>
      <c r="C13" s="1406"/>
      <c r="D13" s="1403"/>
      <c r="E13" s="443" t="s">
        <v>34</v>
      </c>
      <c r="F13" s="444"/>
      <c r="G13" s="327" t="str">
        <f>+IF(G12&lt;=3.5,"O.K","能力不足")</f>
        <v>O.K</v>
      </c>
      <c r="H13" s="447"/>
      <c r="J13" s="237" t="s">
        <v>453</v>
      </c>
      <c r="K13" s="238"/>
      <c r="L13" s="238"/>
      <c r="M13" s="238"/>
      <c r="N13" s="239"/>
    </row>
    <row r="14" spans="2:14" ht="15.75">
      <c r="B14" s="1401"/>
      <c r="C14" s="1406"/>
      <c r="D14" s="1403"/>
      <c r="E14" s="443" t="s">
        <v>179</v>
      </c>
      <c r="F14" s="444" t="s">
        <v>1</v>
      </c>
      <c r="G14" s="328">
        <f>+IF(G13="O.K",ROUNDUP('計算条件（既存）【例】'!G86*25,-1),'物質収支（既存）【例】'!X13*1000/3.5)</f>
        <v>1510</v>
      </c>
      <c r="H14" s="447" t="s">
        <v>200</v>
      </c>
      <c r="J14" s="240" t="s">
        <v>182</v>
      </c>
      <c r="K14" s="238" t="s">
        <v>183</v>
      </c>
      <c r="L14" s="238"/>
      <c r="M14" s="238"/>
      <c r="N14" s="239"/>
    </row>
    <row r="15" spans="2:14">
      <c r="B15" s="1401"/>
      <c r="C15" s="1406"/>
      <c r="D15" s="1406" t="s">
        <v>31</v>
      </c>
      <c r="E15" s="443" t="s">
        <v>33</v>
      </c>
      <c r="F15" s="444" t="s">
        <v>36</v>
      </c>
      <c r="G15" s="324">
        <f>ROUND(G14/'物質収支（既存）【例】'!X10,2)</f>
        <v>25.12</v>
      </c>
      <c r="H15" s="447" t="s">
        <v>99</v>
      </c>
      <c r="J15" s="241"/>
      <c r="K15" s="238" t="s">
        <v>184</v>
      </c>
      <c r="L15" s="238"/>
      <c r="M15" s="238"/>
      <c r="N15" s="239"/>
    </row>
    <row r="16" spans="2:14" ht="15.75">
      <c r="B16" s="1401"/>
      <c r="C16" s="1406"/>
      <c r="D16" s="1406"/>
      <c r="E16" s="443" t="s">
        <v>34</v>
      </c>
      <c r="F16" s="444"/>
      <c r="G16" s="327" t="str">
        <f>+IF(G15&lt;H16,"能力不足","O.K")</f>
        <v>O.K</v>
      </c>
      <c r="H16" s="448">
        <v>25</v>
      </c>
      <c r="J16" s="241"/>
      <c r="K16" s="238" t="s">
        <v>185</v>
      </c>
      <c r="L16" s="238"/>
      <c r="M16" s="238"/>
      <c r="N16" s="239"/>
    </row>
    <row r="17" spans="2:14" ht="15.75">
      <c r="B17" s="1401"/>
      <c r="C17" s="1404" t="s">
        <v>167</v>
      </c>
      <c r="D17" s="1404"/>
      <c r="E17" s="443" t="s">
        <v>171</v>
      </c>
      <c r="F17" s="444" t="s">
        <v>1</v>
      </c>
      <c r="G17" s="56">
        <f>+ROUNDUP('物質収支（既存）【例】'!X33/2,-1)</f>
        <v>440</v>
      </c>
      <c r="H17" s="447"/>
      <c r="J17" s="241"/>
      <c r="K17" s="238"/>
      <c r="L17" s="238"/>
      <c r="M17" s="238"/>
      <c r="N17" s="239"/>
    </row>
    <row r="18" spans="2:14" ht="15.75">
      <c r="B18" s="1401"/>
      <c r="C18" s="1404" t="s">
        <v>155</v>
      </c>
      <c r="D18" s="1404"/>
      <c r="E18" s="443" t="s">
        <v>172</v>
      </c>
      <c r="F18" s="444" t="s">
        <v>189</v>
      </c>
      <c r="G18" s="57">
        <f>ROUNDUP('物質収支（既存）【例】'!X33/24,0)</f>
        <v>37</v>
      </c>
      <c r="H18" s="447"/>
      <c r="J18" s="237" t="s">
        <v>451</v>
      </c>
      <c r="K18" s="238"/>
      <c r="L18" s="238"/>
      <c r="M18" s="238"/>
      <c r="N18" s="239"/>
    </row>
    <row r="19" spans="2:14" ht="15.75">
      <c r="B19" s="1401"/>
      <c r="C19" s="1406" t="s">
        <v>30</v>
      </c>
      <c r="D19" s="1403" t="s">
        <v>187</v>
      </c>
      <c r="E19" s="443" t="s">
        <v>186</v>
      </c>
      <c r="F19" s="444" t="s">
        <v>190</v>
      </c>
      <c r="G19" s="324">
        <f>+③基本情報入力【例】!AD86</f>
        <v>36</v>
      </c>
      <c r="H19" s="448"/>
      <c r="J19" s="237" t="s">
        <v>452</v>
      </c>
      <c r="K19" s="238"/>
      <c r="L19" s="238"/>
      <c r="M19" s="238"/>
      <c r="N19" s="239"/>
    </row>
    <row r="20" spans="2:14">
      <c r="B20" s="1401"/>
      <c r="C20" s="1406"/>
      <c r="D20" s="1403"/>
      <c r="E20" s="443" t="s">
        <v>34</v>
      </c>
      <c r="F20" s="444" t="s">
        <v>464</v>
      </c>
      <c r="G20" s="327" t="str">
        <f>+IF('物質収支（既存）【例】'!X32&lt;G19,"O.K","能力不足")</f>
        <v>O.K</v>
      </c>
      <c r="H20" s="449"/>
      <c r="J20" s="241"/>
      <c r="K20" s="238"/>
      <c r="L20" s="238"/>
      <c r="M20" s="238"/>
      <c r="N20" s="239"/>
    </row>
    <row r="21" spans="2:14" ht="15.75">
      <c r="B21" s="1401"/>
      <c r="C21" s="1406"/>
      <c r="D21" s="1403"/>
      <c r="E21" s="443" t="s">
        <v>188</v>
      </c>
      <c r="F21" s="444" t="s">
        <v>191</v>
      </c>
      <c r="G21" s="327">
        <f>IF(G20="O.K",0,ROUNDUP('物質収支（既存）【例】'!X32-'施設規模の設定（既存）【例】'!G19,1))</f>
        <v>0</v>
      </c>
      <c r="H21" s="449"/>
      <c r="J21" s="241"/>
      <c r="K21" s="238"/>
      <c r="L21" s="238"/>
      <c r="M21" s="238"/>
      <c r="N21" s="239"/>
    </row>
    <row r="22" spans="2:14" ht="14.25" thickBot="1">
      <c r="B22" s="1401"/>
      <c r="C22" s="1404" t="s">
        <v>156</v>
      </c>
      <c r="D22" s="1404"/>
      <c r="E22" s="442" t="s">
        <v>172</v>
      </c>
      <c r="F22" s="444" t="s">
        <v>0</v>
      </c>
      <c r="G22" s="324">
        <f>'物質収支（既存）【例】'!X41</f>
        <v>8.34</v>
      </c>
      <c r="H22" s="450"/>
      <c r="J22" s="242"/>
      <c r="K22" s="243"/>
      <c r="L22" s="243"/>
      <c r="M22" s="243"/>
      <c r="N22" s="244"/>
    </row>
    <row r="23" spans="2:14" ht="15.75">
      <c r="B23" s="1401"/>
      <c r="C23" s="1403" t="s">
        <v>522</v>
      </c>
      <c r="D23" s="442" t="s">
        <v>531</v>
      </c>
      <c r="E23" s="442" t="s">
        <v>172</v>
      </c>
      <c r="F23" s="442" t="s">
        <v>527</v>
      </c>
      <c r="G23" s="326">
        <f>'計算条件（既存）【例】'!G7+'計算条件（既存）【例】'!G13+'計算条件（既存）【例】'!G19+'計算条件（既存）【例】'!G25+'計算条件（既存）【例】'!G31+'計算条件（既存）【例】'!G37+'計算条件（既存）【例】'!G43+('計算条件（既存）【例】'!G56*'計算条件（既存）【例】'!G58)</f>
        <v>97.7</v>
      </c>
      <c r="H23" s="450" t="s">
        <v>526</v>
      </c>
    </row>
    <row r="24" spans="2:14" ht="16.5" thickBot="1">
      <c r="B24" s="1402"/>
      <c r="C24" s="1534"/>
      <c r="D24" s="451" t="s">
        <v>532</v>
      </c>
      <c r="E24" s="452" t="s">
        <v>529</v>
      </c>
      <c r="F24" s="453" t="s">
        <v>1</v>
      </c>
      <c r="G24" s="285">
        <f>('物質収支（既存）【例】'!I33+'物質収支（既存）【例】'!J33+'物質収支（既存）【例】'!K33+'物質収支（既存）【例】'!L33+'物質収支（既存）【例】'!M33+'物質収支（既存）【例】'!N33+'物質収支（既存）【例】'!O33)*1.5+'物質収支（既存）【例】'!R33+'物質収支（既存）【例】'!P33+'物質収支（既存）【例】'!Q33+'物質収支（既存）【例】'!S33+'物質収支（既存）【例】'!T33+'物質収支（既存）【例】'!U33+'物質収支（既存）【例】'!V33+'物質収支（既存）【例】'!W33</f>
        <v>932</v>
      </c>
      <c r="H24" s="454" t="s">
        <v>530</v>
      </c>
    </row>
    <row r="26" spans="2:14" ht="13.5" customHeight="1"/>
    <row r="27" spans="2:14" s="3" customFormat="1">
      <c r="B27"/>
      <c r="C27"/>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s="3" customFormat="1">
      <c r="B35"/>
      <c r="C35"/>
      <c r="D35"/>
      <c r="E35"/>
      <c r="F35"/>
      <c r="H35" s="4"/>
    </row>
    <row r="36" spans="2:10">
      <c r="J36" s="3"/>
    </row>
  </sheetData>
  <mergeCells count="15">
    <mergeCell ref="B3:E3"/>
    <mergeCell ref="B4:B24"/>
    <mergeCell ref="C4:C10"/>
    <mergeCell ref="E4:E10"/>
    <mergeCell ref="F4:F10"/>
    <mergeCell ref="C11:D11"/>
    <mergeCell ref="C12:C16"/>
    <mergeCell ref="D12:D14"/>
    <mergeCell ref="D15:D16"/>
    <mergeCell ref="C17:D17"/>
    <mergeCell ref="C18:D18"/>
    <mergeCell ref="C19:C21"/>
    <mergeCell ref="D19:D21"/>
    <mergeCell ref="C22:D22"/>
    <mergeCell ref="C23:C24"/>
  </mergeCells>
  <phoneticPr fontId="2"/>
  <printOptions horizontalCentered="1"/>
  <pageMargins left="0" right="0" top="0.74803149606299213"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showGridLines="0" tabSelected="1" workbookViewId="0">
      <selection activeCell="I59" sqref="I59"/>
    </sheetView>
  </sheetViews>
  <sheetFormatPr defaultRowHeight="13.5"/>
  <cols>
    <col min="1" max="98" width="2.625" style="491" customWidth="1"/>
    <col min="99" max="16384" width="9" style="491"/>
  </cols>
  <sheetData>
    <row r="1" spans="1:37">
      <c r="A1" s="885" t="s">
        <v>696</v>
      </c>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row>
    <row r="2" spans="1:37">
      <c r="A2" s="885"/>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5"/>
    </row>
    <row r="3" spans="1:37" ht="15" customHeight="1"/>
    <row r="4" spans="1:37" s="492" customFormat="1" ht="15" customHeight="1">
      <c r="B4" s="494" t="s">
        <v>583</v>
      </c>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row>
    <row r="5" spans="1:37" s="492" customFormat="1" ht="15" customHeight="1">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row>
    <row r="6" spans="1:37" s="492" customFormat="1" ht="15" customHeight="1">
      <c r="C6" s="886" t="s">
        <v>585</v>
      </c>
      <c r="D6" s="886"/>
      <c r="E6" s="886"/>
      <c r="F6" s="886"/>
      <c r="G6" s="886"/>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row>
    <row r="7" spans="1:37" s="492" customFormat="1" ht="15" customHeight="1">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row>
    <row r="8" spans="1:37" s="492" customFormat="1" ht="15" customHeight="1">
      <c r="C8" s="886"/>
      <c r="D8" s="886"/>
      <c r="E8" s="886"/>
      <c r="F8" s="886"/>
      <c r="G8" s="886"/>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row>
    <row r="9" spans="1:37" s="492" customFormat="1" ht="15" customHeight="1">
      <c r="C9" s="886"/>
      <c r="D9" s="886"/>
      <c r="E9" s="886"/>
      <c r="F9" s="886"/>
      <c r="G9" s="886"/>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row>
    <row r="10" spans="1:37" s="492" customFormat="1" ht="15" customHeight="1">
      <c r="C10" s="886"/>
      <c r="D10" s="886"/>
      <c r="E10" s="886"/>
      <c r="F10" s="886"/>
      <c r="G10" s="886"/>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row>
    <row r="11" spans="1:37" s="492" customFormat="1" ht="15" customHeight="1">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row>
    <row r="12" spans="1:37" s="492" customFormat="1" ht="15" customHeight="1">
      <c r="C12" s="886"/>
      <c r="D12" s="886"/>
      <c r="E12" s="886"/>
      <c r="F12" s="886"/>
      <c r="G12" s="886"/>
      <c r="H12" s="886"/>
      <c r="I12" s="886"/>
      <c r="J12" s="886"/>
      <c r="K12" s="886"/>
      <c r="L12" s="886"/>
      <c r="M12" s="886"/>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886"/>
      <c r="AK12" s="886"/>
    </row>
    <row r="13" spans="1:37" s="492" customFormat="1" ht="15" customHeight="1">
      <c r="C13" s="886"/>
      <c r="D13" s="886"/>
      <c r="E13" s="886"/>
      <c r="F13" s="886"/>
      <c r="G13" s="886"/>
      <c r="H13" s="886"/>
      <c r="I13" s="886"/>
      <c r="J13" s="886"/>
      <c r="K13" s="886"/>
      <c r="L13" s="886"/>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row>
    <row r="14" spans="1:37" s="492" customFormat="1" ht="15" customHeight="1">
      <c r="C14" s="886"/>
      <c r="D14" s="886"/>
      <c r="E14" s="886"/>
      <c r="F14" s="886"/>
      <c r="G14" s="886"/>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row>
    <row r="15" spans="1:37" s="492" customFormat="1" ht="15" customHeight="1">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row>
    <row r="16" spans="1:37" s="492" customFormat="1" ht="15" customHeight="1"/>
    <row r="17" spans="1:44" s="492" customFormat="1" ht="15" customHeight="1"/>
    <row r="18" spans="1:44" s="492" customFormat="1" ht="15" customHeight="1">
      <c r="B18" s="492" t="s">
        <v>584</v>
      </c>
    </row>
    <row r="19" spans="1:44" s="492" customFormat="1" ht="15" customHeight="1"/>
    <row r="20" spans="1:44" s="495" customFormat="1" ht="15" customHeight="1">
      <c r="B20" s="496"/>
      <c r="C20" s="496" t="s">
        <v>587</v>
      </c>
      <c r="D20" s="496" t="s">
        <v>586</v>
      </c>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row>
    <row r="21" spans="1:44" s="495" customFormat="1" ht="15" customHeight="1">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row>
    <row r="22" spans="1:44" s="495" customFormat="1" ht="15" customHeight="1">
      <c r="B22" s="496"/>
      <c r="C22" s="496" t="s">
        <v>588</v>
      </c>
      <c r="D22" s="884" t="s">
        <v>589</v>
      </c>
      <c r="E22" s="884"/>
      <c r="F22" s="884"/>
      <c r="G22" s="884"/>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496"/>
      <c r="AM22" s="496"/>
      <c r="AN22" s="496"/>
      <c r="AO22" s="496"/>
      <c r="AP22" s="496"/>
      <c r="AQ22" s="496"/>
      <c r="AR22" s="496"/>
    </row>
    <row r="23" spans="1:44" s="495" customFormat="1" ht="15" customHeight="1">
      <c r="B23" s="496"/>
      <c r="C23" s="496"/>
      <c r="D23" s="884"/>
      <c r="E23" s="884"/>
      <c r="F23" s="884"/>
      <c r="G23" s="884"/>
      <c r="H23" s="884"/>
      <c r="I23" s="884"/>
      <c r="J23" s="884"/>
      <c r="K23" s="884"/>
      <c r="L23" s="884"/>
      <c r="M23" s="884"/>
      <c r="N23" s="884"/>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496"/>
      <c r="AM23" s="496"/>
      <c r="AN23" s="496"/>
      <c r="AO23" s="496"/>
      <c r="AP23" s="496"/>
      <c r="AQ23" s="496"/>
      <c r="AR23" s="496"/>
    </row>
    <row r="24" spans="1:44" s="495" customFormat="1" ht="15" customHeight="1">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row>
    <row r="25" spans="1:44" s="495" customFormat="1" ht="15" customHeight="1">
      <c r="B25" s="496"/>
      <c r="C25" s="496" t="s">
        <v>590</v>
      </c>
      <c r="D25" s="884" t="s">
        <v>591</v>
      </c>
      <c r="E25" s="884"/>
      <c r="F25" s="884"/>
      <c r="G25" s="884"/>
      <c r="H25" s="884"/>
      <c r="I25" s="884"/>
      <c r="J25" s="884"/>
      <c r="K25" s="884"/>
      <c r="L25" s="884"/>
      <c r="M25" s="884"/>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496"/>
      <c r="AM25" s="496"/>
      <c r="AN25" s="496"/>
      <c r="AO25" s="496"/>
      <c r="AP25" s="496"/>
      <c r="AQ25" s="496"/>
      <c r="AR25" s="496"/>
    </row>
    <row r="26" spans="1:44" s="495" customFormat="1" ht="15" customHeight="1">
      <c r="B26" s="496"/>
      <c r="C26" s="496"/>
      <c r="D26" s="884"/>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4"/>
      <c r="AI26" s="884"/>
      <c r="AJ26" s="884"/>
      <c r="AK26" s="884"/>
      <c r="AL26" s="496"/>
      <c r="AM26" s="496"/>
      <c r="AN26" s="496"/>
      <c r="AO26" s="496"/>
      <c r="AP26" s="496"/>
      <c r="AQ26" s="496"/>
      <c r="AR26" s="496"/>
    </row>
    <row r="27" spans="1:44" s="495" customFormat="1" ht="15" customHeight="1">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row>
    <row r="28" spans="1:44" s="495" customFormat="1" ht="15" customHeight="1">
      <c r="A28" s="496"/>
      <c r="B28" s="496"/>
      <c r="C28" s="496" t="s">
        <v>588</v>
      </c>
      <c r="D28" s="496" t="s">
        <v>592</v>
      </c>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row>
    <row r="29" spans="1:44" s="495" customFormat="1" ht="15" customHeight="1">
      <c r="A29" s="496"/>
      <c r="B29" s="496"/>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row>
    <row r="30" spans="1:44" s="496" customFormat="1" ht="15" customHeight="1">
      <c r="C30" s="496" t="s">
        <v>588</v>
      </c>
      <c r="D30" s="496" t="s">
        <v>593</v>
      </c>
    </row>
    <row r="31" spans="1:44" s="496" customFormat="1" ht="15" customHeight="1"/>
    <row r="32" spans="1:44" s="496" customFormat="1" ht="15" customHeight="1">
      <c r="C32" s="496" t="s">
        <v>587</v>
      </c>
      <c r="D32" s="884" t="s">
        <v>725</v>
      </c>
      <c r="E32" s="884"/>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row>
    <row r="33" spans="2:44" s="496" customFormat="1" ht="15" customHeight="1">
      <c r="D33" s="884"/>
      <c r="E33" s="884"/>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row>
    <row r="34" spans="2:44" s="496" customFormat="1" ht="15" customHeight="1"/>
    <row r="35" spans="2:44" s="496" customFormat="1" ht="15" customHeight="1">
      <c r="C35" s="496" t="s">
        <v>588</v>
      </c>
      <c r="D35" s="884" t="s">
        <v>724</v>
      </c>
      <c r="E35" s="884"/>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row>
    <row r="36" spans="2:44" s="496" customFormat="1" ht="15" customHeight="1">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row>
    <row r="37" spans="2:44" s="496" customFormat="1" ht="15" customHeight="1"/>
    <row r="38" spans="2:44" s="496" customFormat="1" ht="15" customHeight="1">
      <c r="C38" s="496" t="s">
        <v>588</v>
      </c>
      <c r="D38" s="884" t="s">
        <v>594</v>
      </c>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row>
    <row r="39" spans="2:44" s="496" customFormat="1" ht="15" customHeight="1">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row>
    <row r="40" spans="2:44" s="496" customFormat="1" ht="15" customHeight="1"/>
    <row r="41" spans="2:44" s="496" customFormat="1" ht="15" customHeight="1">
      <c r="C41" s="496" t="s">
        <v>588</v>
      </c>
      <c r="D41" s="884" t="s">
        <v>595</v>
      </c>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row>
    <row r="42" spans="2:44" s="496" customFormat="1" ht="15" customHeight="1">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row>
    <row r="43" spans="2:44" s="496" customFormat="1" ht="15" customHeight="1"/>
    <row r="44" spans="2:44" s="496" customFormat="1" ht="15" customHeight="1">
      <c r="C44" s="496" t="s">
        <v>588</v>
      </c>
      <c r="D44" s="884" t="s">
        <v>706</v>
      </c>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row>
    <row r="45" spans="2:44" s="493" customFormat="1" ht="15" customHeight="1">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row>
    <row r="46" spans="2:44" s="493" customFormat="1" ht="15" customHeight="1"/>
    <row r="47" spans="2:44" s="492" customFormat="1" ht="15" customHeight="1">
      <c r="B47" s="493" t="s">
        <v>596</v>
      </c>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row>
    <row r="48" spans="2:44" s="492" customFormat="1" ht="15" customHeight="1">
      <c r="B48" s="493"/>
      <c r="C48" s="493"/>
      <c r="D48" s="493"/>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row>
    <row r="49" spans="2:44" s="495" customFormat="1" ht="15" customHeight="1">
      <c r="B49" s="496"/>
      <c r="C49" s="496" t="s">
        <v>722</v>
      </c>
      <c r="D49" s="496" t="s">
        <v>723</v>
      </c>
      <c r="E49" s="496"/>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496"/>
      <c r="AR49" s="496"/>
    </row>
    <row r="50" spans="2:44" s="495" customFormat="1" ht="15" customHeight="1">
      <c r="B50" s="496"/>
      <c r="C50" s="496"/>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6"/>
      <c r="AR50" s="496"/>
    </row>
    <row r="51" spans="2:44" s="495" customFormat="1" ht="15" customHeight="1">
      <c r="B51" s="496"/>
      <c r="C51" s="496" t="s">
        <v>597</v>
      </c>
      <c r="D51" s="496" t="s">
        <v>598</v>
      </c>
      <c r="E51" s="496"/>
      <c r="F51" s="496"/>
      <c r="G51" s="496"/>
      <c r="H51" s="496"/>
      <c r="I51" s="496"/>
      <c r="J51" s="496"/>
      <c r="K51" s="496"/>
      <c r="L51" s="496"/>
      <c r="M51" s="496"/>
      <c r="N51" s="496"/>
      <c r="O51" s="496"/>
      <c r="P51" s="496"/>
      <c r="Q51" s="496"/>
      <c r="R51" s="496"/>
      <c r="S51" s="496"/>
      <c r="T51" s="496"/>
      <c r="U51" s="496"/>
      <c r="V51" s="496"/>
      <c r="W51" s="496"/>
      <c r="X51" s="496"/>
      <c r="Y51" s="496"/>
      <c r="Z51" s="496"/>
      <c r="AA51" s="496"/>
      <c r="AB51" s="496"/>
      <c r="AC51" s="496"/>
      <c r="AD51" s="496"/>
      <c r="AE51" s="496"/>
      <c r="AF51" s="496"/>
      <c r="AG51" s="496"/>
      <c r="AH51" s="496"/>
      <c r="AI51" s="496"/>
      <c r="AJ51" s="496"/>
      <c r="AK51" s="496"/>
      <c r="AL51" s="496"/>
      <c r="AM51" s="496"/>
      <c r="AN51" s="496"/>
      <c r="AO51" s="496"/>
      <c r="AP51" s="496"/>
      <c r="AQ51" s="496"/>
      <c r="AR51" s="496"/>
    </row>
    <row r="52" spans="2:44" s="495" customFormat="1" ht="15" customHeight="1">
      <c r="B52" s="496"/>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496"/>
      <c r="AQ52" s="496"/>
      <c r="AR52" s="496"/>
    </row>
    <row r="53" spans="2:44" s="495" customFormat="1" ht="15" customHeight="1">
      <c r="B53" s="496"/>
      <c r="C53" s="496" t="s">
        <v>597</v>
      </c>
      <c r="D53" s="884" t="s">
        <v>600</v>
      </c>
      <c r="E53" s="884"/>
      <c r="F53" s="884"/>
      <c r="G53" s="884"/>
      <c r="H53" s="884"/>
      <c r="I53" s="884"/>
      <c r="J53" s="884"/>
      <c r="K53" s="884"/>
      <c r="L53" s="884"/>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884"/>
      <c r="AL53" s="496"/>
      <c r="AM53" s="496"/>
      <c r="AN53" s="496"/>
      <c r="AO53" s="496"/>
      <c r="AP53" s="496"/>
      <c r="AQ53" s="496"/>
      <c r="AR53" s="496"/>
    </row>
    <row r="54" spans="2:44" s="495" customFormat="1" ht="15" customHeight="1">
      <c r="B54" s="496"/>
      <c r="C54" s="496"/>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c r="AD54" s="884"/>
      <c r="AE54" s="884"/>
      <c r="AF54" s="884"/>
      <c r="AG54" s="884"/>
      <c r="AH54" s="884"/>
      <c r="AI54" s="884"/>
      <c r="AJ54" s="884"/>
      <c r="AK54" s="884"/>
      <c r="AL54" s="496"/>
      <c r="AM54" s="496"/>
      <c r="AN54" s="496"/>
      <c r="AO54" s="496"/>
      <c r="AP54" s="496"/>
      <c r="AQ54" s="496"/>
      <c r="AR54" s="496"/>
    </row>
    <row r="55" spans="2:44" s="495" customFormat="1" ht="15" customHeight="1">
      <c r="B55" s="496"/>
      <c r="C55" s="496"/>
      <c r="D55" s="496"/>
      <c r="E55" s="496"/>
      <c r="F55" s="496"/>
      <c r="G55" s="496"/>
      <c r="H55" s="496"/>
      <c r="I55" s="496"/>
      <c r="J55" s="496"/>
      <c r="K55" s="496"/>
      <c r="L55" s="496"/>
      <c r="M55" s="496"/>
      <c r="N55" s="496"/>
      <c r="O55" s="496"/>
      <c r="P55" s="496"/>
      <c r="Q55" s="496"/>
      <c r="R55" s="496"/>
      <c r="S55" s="496"/>
      <c r="T55" s="496"/>
      <c r="U55" s="496"/>
      <c r="V55" s="496"/>
      <c r="W55" s="496"/>
      <c r="X55" s="496"/>
      <c r="Y55" s="496"/>
      <c r="Z55" s="496"/>
      <c r="AA55" s="496"/>
      <c r="AB55" s="496"/>
      <c r="AC55" s="496"/>
      <c r="AD55" s="496"/>
      <c r="AE55" s="496"/>
      <c r="AF55" s="496"/>
      <c r="AG55" s="496"/>
      <c r="AH55" s="496"/>
      <c r="AI55" s="496"/>
      <c r="AJ55" s="496"/>
      <c r="AK55" s="496"/>
      <c r="AL55" s="496"/>
      <c r="AM55" s="496"/>
      <c r="AN55" s="496"/>
      <c r="AO55" s="496"/>
      <c r="AP55" s="496"/>
      <c r="AQ55" s="496"/>
      <c r="AR55" s="496"/>
    </row>
    <row r="56" spans="2:44" s="495" customFormat="1" ht="15" customHeight="1">
      <c r="B56" s="496"/>
      <c r="C56" s="496" t="s">
        <v>597</v>
      </c>
      <c r="D56" s="496" t="s">
        <v>599</v>
      </c>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c r="AI56" s="496"/>
      <c r="AJ56" s="496"/>
      <c r="AK56" s="496"/>
      <c r="AL56" s="496"/>
      <c r="AM56" s="496"/>
      <c r="AN56" s="496"/>
      <c r="AO56" s="496"/>
      <c r="AP56" s="496"/>
      <c r="AQ56" s="496"/>
      <c r="AR56" s="496"/>
    </row>
    <row r="57" spans="2:44" s="495" customFormat="1" ht="15" customHeight="1">
      <c r="B57" s="496"/>
      <c r="C57" s="496"/>
      <c r="D57" s="496"/>
      <c r="E57" s="496"/>
      <c r="F57" s="496"/>
      <c r="G57" s="496"/>
      <c r="H57" s="496"/>
      <c r="I57" s="496"/>
      <c r="J57" s="496"/>
      <c r="K57" s="496"/>
      <c r="L57" s="496"/>
      <c r="M57" s="496"/>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row>
    <row r="58" spans="2:44" s="495" customFormat="1" ht="15" customHeight="1">
      <c r="C58" s="496"/>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6"/>
    </row>
    <row r="59" spans="2:44" s="495" customFormat="1" ht="15" customHeight="1">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row>
    <row r="60" spans="2:44" s="492" customFormat="1" ht="15" customHeight="1">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row>
    <row r="61" spans="2:44" s="492" customFormat="1" ht="15" customHeight="1">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row>
    <row r="62" spans="2:44" s="492" customFormat="1" ht="15" customHeight="1"/>
    <row r="63" spans="2:44" s="492" customFormat="1" ht="15" customHeight="1"/>
    <row r="64" spans="2:44" s="492" customFormat="1" ht="14.25"/>
    <row r="65" s="492" customFormat="1" ht="14.25"/>
  </sheetData>
  <mergeCells count="10">
    <mergeCell ref="D53:AK54"/>
    <mergeCell ref="A1:AK2"/>
    <mergeCell ref="C6:AK15"/>
    <mergeCell ref="D22:AK23"/>
    <mergeCell ref="D25:AK26"/>
    <mergeCell ref="D35:AK36"/>
    <mergeCell ref="D38:AK39"/>
    <mergeCell ref="D41:AK42"/>
    <mergeCell ref="D44:AK45"/>
    <mergeCell ref="D32:AK33"/>
  </mergeCells>
  <phoneticPr fontId="2"/>
  <pageMargins left="0.39370078740157483" right="0" top="0.78740157480314965" bottom="0"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I90"/>
  <sheetViews>
    <sheetView workbookViewId="0"/>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455</v>
      </c>
      <c r="D2" t="s">
        <v>573</v>
      </c>
    </row>
    <row r="3" spans="2:9" ht="14.25" thickBot="1">
      <c r="B3" s="245"/>
      <c r="C3" s="220" t="s">
        <v>275</v>
      </c>
      <c r="D3" s="221" t="s">
        <v>158</v>
      </c>
      <c r="E3" s="221" t="s">
        <v>23</v>
      </c>
      <c r="F3" s="221" t="s">
        <v>24</v>
      </c>
      <c r="G3" s="67" t="s">
        <v>152</v>
      </c>
      <c r="H3" s="67" t="s">
        <v>153</v>
      </c>
      <c r="I3" s="68" t="s">
        <v>25</v>
      </c>
    </row>
    <row r="4" spans="2:9" ht="15.75">
      <c r="B4" s="1380" t="s">
        <v>154</v>
      </c>
      <c r="C4" s="1383" t="str">
        <f>+③基本情報入力【例】!L12</f>
        <v>A市浄化センター</v>
      </c>
      <c r="D4" s="1385" t="str">
        <f>+③基本情報入力【例】!L13</f>
        <v>濃縮汚泥</v>
      </c>
      <c r="E4" s="246" t="s">
        <v>333</v>
      </c>
      <c r="F4" s="246" t="s">
        <v>2</v>
      </c>
      <c r="G4" s="247">
        <f>ROUND(+'物質収支（既存）【例】'!I8,2)</f>
        <v>30</v>
      </c>
      <c r="H4" s="247">
        <f>ROUND(+'物質収支（既存）【例】'!I59,2)</f>
        <v>36</v>
      </c>
      <c r="I4" s="248"/>
    </row>
    <row r="5" spans="2:9" ht="15.75">
      <c r="B5" s="1381"/>
      <c r="C5" s="1384"/>
      <c r="D5" s="1385"/>
      <c r="E5" s="249" t="s">
        <v>334</v>
      </c>
      <c r="F5" s="249" t="s">
        <v>220</v>
      </c>
      <c r="G5" s="250">
        <f>G4*365</f>
        <v>10950</v>
      </c>
      <c r="H5" s="250">
        <f>H4*365</f>
        <v>13140</v>
      </c>
      <c r="I5" s="233"/>
    </row>
    <row r="6" spans="2:9">
      <c r="B6" s="1381"/>
      <c r="C6" s="1384"/>
      <c r="D6" s="1385"/>
      <c r="E6" s="249" t="s">
        <v>44</v>
      </c>
      <c r="F6" s="249" t="s">
        <v>21</v>
      </c>
      <c r="G6" s="250">
        <f>ROUND((100-'物質収支（既存）【例】'!I15),2)</f>
        <v>98.5</v>
      </c>
      <c r="H6" s="250">
        <f>ROUND((100-'物質収支（既存）【例】'!I66),2)</f>
        <v>98.5</v>
      </c>
      <c r="I6" s="233"/>
    </row>
    <row r="7" spans="2:9" ht="15.75">
      <c r="B7" s="1381"/>
      <c r="C7" s="1384"/>
      <c r="D7" s="1385"/>
      <c r="E7" s="249" t="s">
        <v>45</v>
      </c>
      <c r="F7" s="249" t="s">
        <v>2</v>
      </c>
      <c r="G7" s="250">
        <f>ROUND(+(100-G6)*G4,2)</f>
        <v>45</v>
      </c>
      <c r="H7" s="250">
        <f>ROUND(+(100-H6)*H4,2)</f>
        <v>54</v>
      </c>
      <c r="I7" s="233"/>
    </row>
    <row r="8" spans="2:9">
      <c r="B8" s="1381"/>
      <c r="C8" s="1384"/>
      <c r="D8" s="1385"/>
      <c r="E8" s="249" t="s">
        <v>92</v>
      </c>
      <c r="F8" s="249" t="s">
        <v>27</v>
      </c>
      <c r="G8" s="250">
        <f>ROUND(+'物質収支（既存）【例】'!I16,2)</f>
        <v>80.7</v>
      </c>
      <c r="H8" s="250">
        <f>ROUND(+'物質収支（既存）【例】'!I67,2)</f>
        <v>80.7</v>
      </c>
      <c r="I8" s="233"/>
    </row>
    <row r="9" spans="2:9" ht="16.5" thickBot="1">
      <c r="B9" s="1381"/>
      <c r="C9" s="1384"/>
      <c r="D9" s="1386"/>
      <c r="E9" s="251" t="s">
        <v>94</v>
      </c>
      <c r="F9" s="251" t="s">
        <v>26</v>
      </c>
      <c r="G9" s="252">
        <f>ROUND(+'物質収支（既存）【例】'!I18,2)</f>
        <v>0.6</v>
      </c>
      <c r="H9" s="252">
        <f>ROUND(+'物質収支（既存）【例】'!I69,2)</f>
        <v>0.6</v>
      </c>
      <c r="I9" s="253"/>
    </row>
    <row r="10" spans="2:9" ht="15.75">
      <c r="B10" s="1381"/>
      <c r="C10" s="1383" t="str">
        <f>+③基本情報入力【例】!V12</f>
        <v>B町中央浄化センター</v>
      </c>
      <c r="D10" s="1385" t="str">
        <f>+③基本情報入力【例】!V13</f>
        <v>脱水汚泥</v>
      </c>
      <c r="E10" s="246" t="s">
        <v>333</v>
      </c>
      <c r="F10" s="246" t="s">
        <v>2</v>
      </c>
      <c r="G10" s="247">
        <f>ROUND(+'物質収支（既存）【例】'!J8,2)</f>
        <v>1</v>
      </c>
      <c r="H10" s="247">
        <f>ROUND(+'物質収支（既存）【例】'!J59,2)</f>
        <v>1.2</v>
      </c>
      <c r="I10" s="248"/>
    </row>
    <row r="11" spans="2:9" ht="15.75">
      <c r="B11" s="1381"/>
      <c r="C11" s="1384"/>
      <c r="D11" s="1385"/>
      <c r="E11" s="249" t="s">
        <v>334</v>
      </c>
      <c r="F11" s="249" t="s">
        <v>220</v>
      </c>
      <c r="G11" s="250">
        <f>G10*365</f>
        <v>365</v>
      </c>
      <c r="H11" s="250">
        <f>H10*365</f>
        <v>438</v>
      </c>
      <c r="I11" s="233"/>
    </row>
    <row r="12" spans="2:9">
      <c r="B12" s="1381"/>
      <c r="C12" s="1384"/>
      <c r="D12" s="1385"/>
      <c r="E12" s="249" t="s">
        <v>44</v>
      </c>
      <c r="F12" s="249" t="s">
        <v>21</v>
      </c>
      <c r="G12" s="250">
        <f>ROUND((100-'物質収支（既存）【例】'!J15),2)</f>
        <v>84</v>
      </c>
      <c r="H12" s="250">
        <f>ROUND((100-'物質収支（既存）【例】'!J66),2)</f>
        <v>84</v>
      </c>
      <c r="I12" s="233"/>
    </row>
    <row r="13" spans="2:9" ht="15.75">
      <c r="B13" s="1381"/>
      <c r="C13" s="1384"/>
      <c r="D13" s="1385"/>
      <c r="E13" s="249" t="s">
        <v>45</v>
      </c>
      <c r="F13" s="249" t="s">
        <v>2</v>
      </c>
      <c r="G13" s="250">
        <f>ROUND(+(100-G12)*G10,2)</f>
        <v>16</v>
      </c>
      <c r="H13" s="250">
        <f>ROUND(+(100-H12)*H10,2)</f>
        <v>19.2</v>
      </c>
      <c r="I13" s="233"/>
    </row>
    <row r="14" spans="2:9">
      <c r="B14" s="1381"/>
      <c r="C14" s="1384"/>
      <c r="D14" s="1385"/>
      <c r="E14" s="249" t="s">
        <v>92</v>
      </c>
      <c r="F14" s="249" t="s">
        <v>27</v>
      </c>
      <c r="G14" s="250">
        <f>ROUND(+'物質収支（既存）【例】'!J16,2)</f>
        <v>80.7</v>
      </c>
      <c r="H14" s="250">
        <f>ROUND(+'物質収支（既存）【例】'!J67,2)</f>
        <v>80.7</v>
      </c>
      <c r="I14" s="233"/>
    </row>
    <row r="15" spans="2:9" ht="16.5" thickBot="1">
      <c r="B15" s="1381"/>
      <c r="C15" s="1384"/>
      <c r="D15" s="1386"/>
      <c r="E15" s="251" t="s">
        <v>94</v>
      </c>
      <c r="F15" s="251" t="s">
        <v>26</v>
      </c>
      <c r="G15" s="252">
        <f>ROUND(+'物質収支（既存）【例】'!J18,2)</f>
        <v>0.6</v>
      </c>
      <c r="H15" s="252">
        <f>ROUND(+'物質収支（既存）【例】'!J69,2)</f>
        <v>0.6</v>
      </c>
      <c r="I15" s="253"/>
    </row>
    <row r="16" spans="2:9" ht="15.75">
      <c r="B16" s="1381"/>
      <c r="C16" s="1383" t="str">
        <f>+③基本情報入力【例】!AA12</f>
        <v>B町浄化センター</v>
      </c>
      <c r="D16" s="1385" t="str">
        <f>+③基本情報入力【例】!AA13</f>
        <v>脱水汚泥</v>
      </c>
      <c r="E16" s="246" t="s">
        <v>333</v>
      </c>
      <c r="F16" s="246" t="s">
        <v>2</v>
      </c>
      <c r="G16" s="247">
        <f>ROUND(+'物質収支（既存）【例】'!K8,2)</f>
        <v>0.7</v>
      </c>
      <c r="H16" s="247">
        <f>ROUND(+'物質収支（既存）【例】'!K59,2)</f>
        <v>0.84</v>
      </c>
      <c r="I16" s="248"/>
    </row>
    <row r="17" spans="2:9" ht="15.75">
      <c r="B17" s="1381"/>
      <c r="C17" s="1384"/>
      <c r="D17" s="1385"/>
      <c r="E17" s="249" t="s">
        <v>334</v>
      </c>
      <c r="F17" s="249" t="s">
        <v>220</v>
      </c>
      <c r="G17" s="250">
        <f>G16*365</f>
        <v>255.49999999999997</v>
      </c>
      <c r="H17" s="250">
        <f>H16*365</f>
        <v>306.59999999999997</v>
      </c>
      <c r="I17" s="233"/>
    </row>
    <row r="18" spans="2:9">
      <c r="B18" s="1381"/>
      <c r="C18" s="1384"/>
      <c r="D18" s="1385"/>
      <c r="E18" s="249" t="s">
        <v>44</v>
      </c>
      <c r="F18" s="249" t="s">
        <v>21</v>
      </c>
      <c r="G18" s="250">
        <f>ROUND((100-'物質収支（既存）【例】'!K15),2)</f>
        <v>84</v>
      </c>
      <c r="H18" s="250">
        <f>ROUND((100-'物質収支（既存）【例】'!K66),2)</f>
        <v>84</v>
      </c>
      <c r="I18" s="233"/>
    </row>
    <row r="19" spans="2:9" ht="15.75">
      <c r="B19" s="1381"/>
      <c r="C19" s="1384"/>
      <c r="D19" s="1385"/>
      <c r="E19" s="249" t="s">
        <v>45</v>
      </c>
      <c r="F19" s="249" t="s">
        <v>2</v>
      </c>
      <c r="G19" s="250">
        <f>ROUND(+(100-G18)*G16,2)</f>
        <v>11.2</v>
      </c>
      <c r="H19" s="250">
        <f>ROUND(+(100-H18)*H16,2)</f>
        <v>13.44</v>
      </c>
      <c r="I19" s="233"/>
    </row>
    <row r="20" spans="2:9">
      <c r="B20" s="1381"/>
      <c r="C20" s="1384"/>
      <c r="D20" s="1385"/>
      <c r="E20" s="249" t="s">
        <v>92</v>
      </c>
      <c r="F20" s="249" t="s">
        <v>27</v>
      </c>
      <c r="G20" s="250">
        <f>ROUND(+'物質収支（既存）【例】'!K16,2)</f>
        <v>80.7</v>
      </c>
      <c r="H20" s="250">
        <f>ROUND(+'物質収支（既存）【例】'!K67,2)</f>
        <v>80.7</v>
      </c>
      <c r="I20" s="233"/>
    </row>
    <row r="21" spans="2:9" ht="16.5" thickBot="1">
      <c r="B21" s="1381"/>
      <c r="C21" s="1384"/>
      <c r="D21" s="1386"/>
      <c r="E21" s="251" t="s">
        <v>94</v>
      </c>
      <c r="F21" s="251" t="s">
        <v>26</v>
      </c>
      <c r="G21" s="252">
        <f>ROUND(+'物質収支（既存）【例】'!K18,2)</f>
        <v>0.6</v>
      </c>
      <c r="H21" s="252">
        <f>ROUND(+'物質収支（既存）【例】'!K69,2)</f>
        <v>0.6</v>
      </c>
      <c r="I21" s="253"/>
    </row>
    <row r="22" spans="2:9" ht="15.75">
      <c r="B22" s="1381"/>
      <c r="C22" s="1383" t="str">
        <f>+③基本情報入力【例】!AF12</f>
        <v>C町西浄化センター</v>
      </c>
      <c r="D22" s="1385" t="str">
        <f>+③基本情報入力【例】!AF13</f>
        <v>脱水汚泥</v>
      </c>
      <c r="E22" s="246" t="s">
        <v>333</v>
      </c>
      <c r="F22" s="246" t="s">
        <v>2</v>
      </c>
      <c r="G22" s="247">
        <f>ROUND(+'物質収支（既存）【例】'!L8,2)</f>
        <v>0.5</v>
      </c>
      <c r="H22" s="247">
        <f>ROUND(+'物質収支（既存）【例】'!L59,2)</f>
        <v>0.6</v>
      </c>
      <c r="I22" s="248"/>
    </row>
    <row r="23" spans="2:9" ht="15.75">
      <c r="B23" s="1381"/>
      <c r="C23" s="1384"/>
      <c r="D23" s="1385"/>
      <c r="E23" s="249" t="s">
        <v>334</v>
      </c>
      <c r="F23" s="249" t="s">
        <v>220</v>
      </c>
      <c r="G23" s="250">
        <f>G22*365</f>
        <v>182.5</v>
      </c>
      <c r="H23" s="250">
        <f>H22*365</f>
        <v>219</v>
      </c>
      <c r="I23" s="233"/>
    </row>
    <row r="24" spans="2:9">
      <c r="B24" s="1381"/>
      <c r="C24" s="1384"/>
      <c r="D24" s="1385"/>
      <c r="E24" s="249" t="s">
        <v>44</v>
      </c>
      <c r="F24" s="249" t="s">
        <v>21</v>
      </c>
      <c r="G24" s="250">
        <f>ROUND((100-'物質収支（既存）【例】'!L15),2)</f>
        <v>83</v>
      </c>
      <c r="H24" s="250">
        <f>ROUND((100-'物質収支（既存）【例】'!L66),2)</f>
        <v>83</v>
      </c>
      <c r="I24" s="233"/>
    </row>
    <row r="25" spans="2:9" ht="15.75">
      <c r="B25" s="1381"/>
      <c r="C25" s="1384"/>
      <c r="D25" s="1385"/>
      <c r="E25" s="249" t="s">
        <v>45</v>
      </c>
      <c r="F25" s="249" t="s">
        <v>2</v>
      </c>
      <c r="G25" s="250">
        <f>ROUND(+(100-G24)*G22,2)</f>
        <v>8.5</v>
      </c>
      <c r="H25" s="250">
        <f>ROUND(+(100-H24)*H22,2)</f>
        <v>10.199999999999999</v>
      </c>
      <c r="I25" s="233"/>
    </row>
    <row r="26" spans="2:9">
      <c r="B26" s="1381"/>
      <c r="C26" s="1384"/>
      <c r="D26" s="1385"/>
      <c r="E26" s="249" t="s">
        <v>92</v>
      </c>
      <c r="F26" s="249" t="s">
        <v>27</v>
      </c>
      <c r="G26" s="250">
        <f>ROUND(+'物質収支（既存）【例】'!L16,2)</f>
        <v>80.7</v>
      </c>
      <c r="H26" s="250">
        <f>ROUND(+'物質収支（既存）【例】'!L67,2)</f>
        <v>80.7</v>
      </c>
      <c r="I26" s="233"/>
    </row>
    <row r="27" spans="2:9" ht="16.5" thickBot="1">
      <c r="B27" s="1381"/>
      <c r="C27" s="1384"/>
      <c r="D27" s="1386"/>
      <c r="E27" s="251" t="s">
        <v>94</v>
      </c>
      <c r="F27" s="251" t="s">
        <v>26</v>
      </c>
      <c r="G27" s="252">
        <f>ROUND(+'物質収支（既存）【例】'!L18,2)</f>
        <v>0.6</v>
      </c>
      <c r="H27" s="252">
        <f>ROUND(+'物質収支（既存）【例】'!L69,2)</f>
        <v>0.6</v>
      </c>
      <c r="I27" s="253"/>
    </row>
    <row r="28" spans="2:9" ht="15.75">
      <c r="B28" s="1381"/>
      <c r="C28" s="1383" t="str">
        <f>+③基本情報入力【例】!AK12</f>
        <v>C町東浄化センター</v>
      </c>
      <c r="D28" s="1385" t="str">
        <f>+③基本情報入力【例】!AK13</f>
        <v>濃縮汚泥</v>
      </c>
      <c r="E28" s="246" t="s">
        <v>333</v>
      </c>
      <c r="F28" s="246" t="s">
        <v>2</v>
      </c>
      <c r="G28" s="247">
        <f>ROUND(+'物質収支（既存）【例】'!M8,2)</f>
        <v>0.1</v>
      </c>
      <c r="H28" s="247">
        <f>ROUND(+'物質収支（既存）【例】'!M59,2)</f>
        <v>0.12</v>
      </c>
      <c r="I28" s="248"/>
    </row>
    <row r="29" spans="2:9" ht="15.75">
      <c r="B29" s="1381"/>
      <c r="C29" s="1384"/>
      <c r="D29" s="1385"/>
      <c r="E29" s="249" t="s">
        <v>334</v>
      </c>
      <c r="F29" s="249" t="s">
        <v>220</v>
      </c>
      <c r="G29" s="250">
        <f>G28*365</f>
        <v>36.5</v>
      </c>
      <c r="H29" s="250">
        <f>H28*365</f>
        <v>43.8</v>
      </c>
      <c r="I29" s="233"/>
    </row>
    <row r="30" spans="2:9">
      <c r="B30" s="1381"/>
      <c r="C30" s="1384"/>
      <c r="D30" s="1385"/>
      <c r="E30" s="249" t="s">
        <v>44</v>
      </c>
      <c r="F30" s="249" t="s">
        <v>21</v>
      </c>
      <c r="G30" s="250">
        <f>ROUND((100-'物質収支（既存）【例】'!M15),2)</f>
        <v>98.5</v>
      </c>
      <c r="H30" s="250">
        <f>ROUND((100-'物質収支（既存）【例】'!M66),2)</f>
        <v>98.5</v>
      </c>
      <c r="I30" s="233"/>
    </row>
    <row r="31" spans="2:9" ht="15.75">
      <c r="B31" s="1381"/>
      <c r="C31" s="1384"/>
      <c r="D31" s="1385"/>
      <c r="E31" s="249" t="s">
        <v>45</v>
      </c>
      <c r="F31" s="249" t="s">
        <v>2</v>
      </c>
      <c r="G31" s="250">
        <f>ROUND(+(100-G30)*G28,2)</f>
        <v>0.15</v>
      </c>
      <c r="H31" s="250">
        <f>ROUND(+(100-H30)*H28,2)</f>
        <v>0.18</v>
      </c>
      <c r="I31" s="233"/>
    </row>
    <row r="32" spans="2:9">
      <c r="B32" s="1381"/>
      <c r="C32" s="1384"/>
      <c r="D32" s="1385"/>
      <c r="E32" s="249" t="s">
        <v>92</v>
      </c>
      <c r="F32" s="249" t="s">
        <v>27</v>
      </c>
      <c r="G32" s="250">
        <f>ROUND(+'物質収支（既存）【例】'!M16,2)</f>
        <v>80.7</v>
      </c>
      <c r="H32" s="250">
        <f>ROUND(+'物質収支（既存）【例】'!M67,2)</f>
        <v>80.7</v>
      </c>
      <c r="I32" s="233"/>
    </row>
    <row r="33" spans="2:9" ht="16.5" thickBot="1">
      <c r="B33" s="1381"/>
      <c r="C33" s="1384"/>
      <c r="D33" s="1386"/>
      <c r="E33" s="251" t="s">
        <v>94</v>
      </c>
      <c r="F33" s="251" t="s">
        <v>26</v>
      </c>
      <c r="G33" s="252">
        <f>ROUND(+'物質収支（既存）【例】'!M18,2)</f>
        <v>0.6</v>
      </c>
      <c r="H33" s="252">
        <f>ROUND(+'物質収支（既存）【例】'!M69,2)</f>
        <v>0.6</v>
      </c>
      <c r="I33" s="253"/>
    </row>
    <row r="34" spans="2:9" ht="15.75">
      <c r="B34" s="1381"/>
      <c r="C34" s="1383" t="str">
        <f>+③基本情報入力【例】!AP12</f>
        <v>C町中部浄化センター</v>
      </c>
      <c r="D34" s="1385" t="str">
        <f>+③基本情報入力【例】!AP13</f>
        <v>脱水汚泥</v>
      </c>
      <c r="E34" s="246" t="s">
        <v>333</v>
      </c>
      <c r="F34" s="246" t="s">
        <v>2</v>
      </c>
      <c r="G34" s="247">
        <f>ROUND(+'物質収支（既存）【例】'!N8,2)</f>
        <v>0.3</v>
      </c>
      <c r="H34" s="247">
        <f>ROUND(+'物質収支（既存）【例】'!N59,2)</f>
        <v>0.36</v>
      </c>
      <c r="I34" s="248"/>
    </row>
    <row r="35" spans="2:9" ht="15.75">
      <c r="B35" s="1381"/>
      <c r="C35" s="1384"/>
      <c r="D35" s="1385"/>
      <c r="E35" s="249" t="s">
        <v>334</v>
      </c>
      <c r="F35" s="249" t="s">
        <v>220</v>
      </c>
      <c r="G35" s="250">
        <f>G34*365</f>
        <v>109.5</v>
      </c>
      <c r="H35" s="250">
        <f>H34*365</f>
        <v>131.4</v>
      </c>
      <c r="I35" s="233"/>
    </row>
    <row r="36" spans="2:9">
      <c r="B36" s="1381"/>
      <c r="C36" s="1384"/>
      <c r="D36" s="1385"/>
      <c r="E36" s="249" t="s">
        <v>44</v>
      </c>
      <c r="F36" s="249" t="s">
        <v>21</v>
      </c>
      <c r="G36" s="250">
        <f>ROUND((100-'物質収支（既存）【例】'!N15),2)</f>
        <v>84</v>
      </c>
      <c r="H36" s="250">
        <f>ROUND((100-'物質収支（既存）【例】'!N66),2)</f>
        <v>84</v>
      </c>
      <c r="I36" s="233"/>
    </row>
    <row r="37" spans="2:9" ht="15.75">
      <c r="B37" s="1381"/>
      <c r="C37" s="1384"/>
      <c r="D37" s="1385"/>
      <c r="E37" s="249" t="s">
        <v>45</v>
      </c>
      <c r="F37" s="249" t="s">
        <v>2</v>
      </c>
      <c r="G37" s="250">
        <f>ROUND(+(100-G36)*G34,2)</f>
        <v>4.8</v>
      </c>
      <c r="H37" s="250">
        <f>ROUND(+(100-H36)*H34,2)</f>
        <v>5.76</v>
      </c>
      <c r="I37" s="233"/>
    </row>
    <row r="38" spans="2:9">
      <c r="B38" s="1381"/>
      <c r="C38" s="1384"/>
      <c r="D38" s="1385"/>
      <c r="E38" s="249" t="s">
        <v>92</v>
      </c>
      <c r="F38" s="249" t="s">
        <v>27</v>
      </c>
      <c r="G38" s="250">
        <f>ROUND(+'物質収支（既存）【例】'!N16,2)</f>
        <v>80.7</v>
      </c>
      <c r="H38" s="250">
        <f>ROUND(+'物質収支（既存）【例】'!N67,2)</f>
        <v>80.7</v>
      </c>
      <c r="I38" s="233"/>
    </row>
    <row r="39" spans="2:9" ht="16.5" thickBot="1">
      <c r="B39" s="1381"/>
      <c r="C39" s="1387"/>
      <c r="D39" s="1386"/>
      <c r="E39" s="251" t="s">
        <v>94</v>
      </c>
      <c r="F39" s="251" t="s">
        <v>26</v>
      </c>
      <c r="G39" s="252">
        <f>ROUND(+'物質収支（既存）【例】'!N18,2)</f>
        <v>0.6</v>
      </c>
      <c r="H39" s="252">
        <f>ROUND(+'物質収支（既存）【例】'!N69,2)</f>
        <v>0.6</v>
      </c>
      <c r="I39" s="253"/>
    </row>
    <row r="40" spans="2:9" ht="15.75">
      <c r="B40" s="1381"/>
      <c r="C40" s="1383" t="str">
        <f>+③基本情報入力【例】!AU12</f>
        <v>その他処理場</v>
      </c>
      <c r="D40" s="1385" t="str">
        <f>+③基本情報入力【例】!AU13</f>
        <v>濃縮汚泥</v>
      </c>
      <c r="E40" s="246" t="s">
        <v>333</v>
      </c>
      <c r="F40" s="246" t="s">
        <v>2</v>
      </c>
      <c r="G40" s="247">
        <f>ROUND(+'物質収支（既存）【例】'!O8,2)</f>
        <v>0.5</v>
      </c>
      <c r="H40" s="247">
        <f>ROUND(+'物質収支（既存）【例】'!O59,2)</f>
        <v>0.6</v>
      </c>
      <c r="I40" s="248"/>
    </row>
    <row r="41" spans="2:9" ht="15.75">
      <c r="B41" s="1381"/>
      <c r="C41" s="1384"/>
      <c r="D41" s="1385"/>
      <c r="E41" s="249" t="s">
        <v>334</v>
      </c>
      <c r="F41" s="249" t="s">
        <v>220</v>
      </c>
      <c r="G41" s="250">
        <f>G40*365</f>
        <v>182.5</v>
      </c>
      <c r="H41" s="250">
        <f>H40*365</f>
        <v>219</v>
      </c>
      <c r="I41" s="233"/>
    </row>
    <row r="42" spans="2:9">
      <c r="B42" s="1381"/>
      <c r="C42" s="1384"/>
      <c r="D42" s="1385"/>
      <c r="E42" s="249" t="s">
        <v>44</v>
      </c>
      <c r="F42" s="249" t="s">
        <v>21</v>
      </c>
      <c r="G42" s="250">
        <f>ROUND((100-'物質収支（既存）【例】'!O15),2)</f>
        <v>98.9</v>
      </c>
      <c r="H42" s="250">
        <f>ROUND((100-'物質収支（既存）【例】'!O66),2)</f>
        <v>98.9</v>
      </c>
      <c r="I42" s="233"/>
    </row>
    <row r="43" spans="2:9" ht="15.75">
      <c r="B43" s="1381"/>
      <c r="C43" s="1384"/>
      <c r="D43" s="1385"/>
      <c r="E43" s="249" t="s">
        <v>45</v>
      </c>
      <c r="F43" s="249" t="s">
        <v>2</v>
      </c>
      <c r="G43" s="250">
        <f>ROUND(+(100-G42)*G40,2)</f>
        <v>0.55000000000000004</v>
      </c>
      <c r="H43" s="250">
        <f>ROUND(+(100-H42)*H40,2)</f>
        <v>0.66</v>
      </c>
      <c r="I43" s="233"/>
    </row>
    <row r="44" spans="2:9">
      <c r="B44" s="1381"/>
      <c r="C44" s="1384"/>
      <c r="D44" s="1385"/>
      <c r="E44" s="249" t="s">
        <v>92</v>
      </c>
      <c r="F44" s="249" t="s">
        <v>27</v>
      </c>
      <c r="G44" s="250">
        <f>ROUND(+'物質収支（既存）【例】'!O16,2)</f>
        <v>80.7</v>
      </c>
      <c r="H44" s="250">
        <f>ROUND(+'物質収支（既存）【例】'!O67,2)</f>
        <v>80.7</v>
      </c>
      <c r="I44" s="233"/>
    </row>
    <row r="45" spans="2:9" ht="16.5" thickBot="1">
      <c r="B45" s="1381"/>
      <c r="C45" s="1387"/>
      <c r="D45" s="1386"/>
      <c r="E45" s="251" t="s">
        <v>94</v>
      </c>
      <c r="F45" s="251" t="s">
        <v>26</v>
      </c>
      <c r="G45" s="252">
        <f>ROUND(+'物質収支（既存）【例】'!O18,2)</f>
        <v>0.6</v>
      </c>
      <c r="H45" s="252">
        <f>ROUND(+'物質収支（既存）【例】'!O69,2)</f>
        <v>0.6</v>
      </c>
      <c r="I45" s="253"/>
    </row>
    <row r="46" spans="2:9" ht="15.75">
      <c r="B46" s="1381"/>
      <c r="C46" s="1383" t="str">
        <f>+③基本情報入力【例】!L29</f>
        <v>A市・B町・C町</v>
      </c>
      <c r="D46" s="1388" t="str">
        <f>+③基本情報入力【例】!L30</f>
        <v>し尿</v>
      </c>
      <c r="E46" s="246" t="s">
        <v>333</v>
      </c>
      <c r="F46" s="246" t="s">
        <v>2</v>
      </c>
      <c r="G46" s="247">
        <f>+ROUND('物質収支（既存）【例】'!P8,2)</f>
        <v>3</v>
      </c>
      <c r="H46" s="247">
        <f>+ROUND('物質収支（既存）【例】'!P59,2)</f>
        <v>3.6</v>
      </c>
      <c r="I46" s="248"/>
    </row>
    <row r="47" spans="2:9" ht="15.75">
      <c r="B47" s="1381"/>
      <c r="C47" s="1384"/>
      <c r="D47" s="1389"/>
      <c r="E47" s="249" t="s">
        <v>334</v>
      </c>
      <c r="F47" s="249" t="s">
        <v>220</v>
      </c>
      <c r="G47" s="250">
        <f>G46*365</f>
        <v>1095</v>
      </c>
      <c r="H47" s="250">
        <f>H46*365</f>
        <v>1314</v>
      </c>
      <c r="I47" s="233"/>
    </row>
    <row r="48" spans="2:9">
      <c r="B48" s="1381"/>
      <c r="C48" s="1384"/>
      <c r="D48" s="1130"/>
      <c r="E48" s="249" t="s">
        <v>42</v>
      </c>
      <c r="F48" s="249" t="s">
        <v>21</v>
      </c>
      <c r="G48" s="250">
        <f>+'物質収支（既存）【例】'!P15</f>
        <v>2.4</v>
      </c>
      <c r="H48" s="250">
        <f>+'物質収支（既存）【例】'!P66</f>
        <v>2.4</v>
      </c>
      <c r="I48" s="233"/>
    </row>
    <row r="49" spans="2:9">
      <c r="B49" s="1381"/>
      <c r="C49" s="1384"/>
      <c r="D49" s="1130"/>
      <c r="E49" s="249" t="s">
        <v>92</v>
      </c>
      <c r="F49" s="249" t="s">
        <v>27</v>
      </c>
      <c r="G49" s="250">
        <f>+'物質収支（既存）【例】'!P16</f>
        <v>55.6</v>
      </c>
      <c r="H49" s="250">
        <f>+'物質収支（既存）【例】'!P67</f>
        <v>55.6</v>
      </c>
      <c r="I49" s="233"/>
    </row>
    <row r="50" spans="2:9" ht="16.5" thickBot="1">
      <c r="B50" s="1381"/>
      <c r="C50" s="1387"/>
      <c r="D50" s="1390"/>
      <c r="E50" s="251" t="s">
        <v>94</v>
      </c>
      <c r="F50" s="251" t="s">
        <v>26</v>
      </c>
      <c r="G50" s="252">
        <f>+'物質収支（既存）【例】'!P18</f>
        <v>0.8</v>
      </c>
      <c r="H50" s="252">
        <f>+'物質収支（既存）【例】'!P69</f>
        <v>0.8</v>
      </c>
      <c r="I50" s="253"/>
    </row>
    <row r="51" spans="2:9" ht="15.75">
      <c r="B51" s="1381"/>
      <c r="C51" s="1383" t="str">
        <f>+③基本情報入力【例】!Q29</f>
        <v>A市・B町・C町</v>
      </c>
      <c r="D51" s="1388" t="str">
        <f>+③基本情報入力【例】!Q30</f>
        <v>浄化槽汚泥</v>
      </c>
      <c r="E51" s="246" t="s">
        <v>333</v>
      </c>
      <c r="F51" s="246" t="s">
        <v>2</v>
      </c>
      <c r="G51" s="247">
        <f>ROUND('物質収支（既存）【例】'!Q8,2)</f>
        <v>15</v>
      </c>
      <c r="H51" s="247">
        <f>ROUND(+'物質収支（既存）【例】'!Q59,2)</f>
        <v>18</v>
      </c>
      <c r="I51" s="248"/>
    </row>
    <row r="52" spans="2:9" ht="15.75">
      <c r="B52" s="1381"/>
      <c r="C52" s="1384"/>
      <c r="D52" s="1389"/>
      <c r="E52" s="249" t="s">
        <v>334</v>
      </c>
      <c r="F52" s="249" t="s">
        <v>220</v>
      </c>
      <c r="G52" s="250">
        <f>G51*365</f>
        <v>5475</v>
      </c>
      <c r="H52" s="250">
        <f>H51*365</f>
        <v>6570</v>
      </c>
      <c r="I52" s="233"/>
    </row>
    <row r="53" spans="2:9">
      <c r="B53" s="1381"/>
      <c r="C53" s="1384"/>
      <c r="D53" s="1130"/>
      <c r="E53" s="249" t="s">
        <v>42</v>
      </c>
      <c r="F53" s="249" t="s">
        <v>21</v>
      </c>
      <c r="G53" s="250">
        <f>+'物質収支（既存）【例】'!Q15</f>
        <v>1.3</v>
      </c>
      <c r="H53" s="250">
        <f>+'物質収支（既存）【例】'!Q66</f>
        <v>1.3</v>
      </c>
      <c r="I53" s="233"/>
    </row>
    <row r="54" spans="2:9">
      <c r="B54" s="1381"/>
      <c r="C54" s="1384"/>
      <c r="D54" s="1130"/>
      <c r="E54" s="249" t="s">
        <v>92</v>
      </c>
      <c r="F54" s="249" t="s">
        <v>27</v>
      </c>
      <c r="G54" s="250">
        <f>+'物質収支（既存）【例】'!Q16</f>
        <v>78.599999999999994</v>
      </c>
      <c r="H54" s="250">
        <f>+'物質収支（既存）【例】'!Q67</f>
        <v>78.599999999999994</v>
      </c>
      <c r="I54" s="233"/>
    </row>
    <row r="55" spans="2:9" ht="16.5" thickBot="1">
      <c r="B55" s="1381"/>
      <c r="C55" s="1387"/>
      <c r="D55" s="1390"/>
      <c r="E55" s="251" t="s">
        <v>94</v>
      </c>
      <c r="F55" s="251" t="s">
        <v>26</v>
      </c>
      <c r="G55" s="252">
        <f>+'物質収支（既存）【例】'!Q18</f>
        <v>0.8</v>
      </c>
      <c r="H55" s="252">
        <f>+'物質収支（既存）【例】'!Q69</f>
        <v>0.8</v>
      </c>
      <c r="I55" s="253"/>
    </row>
    <row r="56" spans="2:9" ht="15.75">
      <c r="B56" s="1381"/>
      <c r="C56" s="1383" t="str">
        <f>+③基本情報入力【例】!V29</f>
        <v>A市・B町・C町</v>
      </c>
      <c r="D56" s="1388" t="str">
        <f>+③基本情報入力【例】!V30</f>
        <v>集落排水汚泥</v>
      </c>
      <c r="E56" s="246" t="s">
        <v>333</v>
      </c>
      <c r="F56" s="246" t="s">
        <v>2</v>
      </c>
      <c r="G56" s="247">
        <f>+ROUND('物質収支（既存）【例】'!R8,2)</f>
        <v>5</v>
      </c>
      <c r="H56" s="247">
        <f>+ROUND('物質収支（既存）【例】'!R59,2)</f>
        <v>6</v>
      </c>
      <c r="I56" s="248"/>
    </row>
    <row r="57" spans="2:9" ht="15.75">
      <c r="B57" s="1381"/>
      <c r="C57" s="1384"/>
      <c r="D57" s="1389"/>
      <c r="E57" s="249" t="s">
        <v>334</v>
      </c>
      <c r="F57" s="249" t="s">
        <v>220</v>
      </c>
      <c r="G57" s="250">
        <f>G56*365</f>
        <v>1825</v>
      </c>
      <c r="H57" s="250">
        <f>H56*365</f>
        <v>2190</v>
      </c>
      <c r="I57" s="233"/>
    </row>
    <row r="58" spans="2:9">
      <c r="B58" s="1381"/>
      <c r="C58" s="1384"/>
      <c r="D58" s="1130"/>
      <c r="E58" s="249" t="s">
        <v>42</v>
      </c>
      <c r="F58" s="249" t="s">
        <v>21</v>
      </c>
      <c r="G58" s="250">
        <f>+'物質収支（既存）【例】'!R15</f>
        <v>2.2999999999999998</v>
      </c>
      <c r="H58" s="250">
        <f>+'物質収支（既存）【例】'!R66</f>
        <v>2.2999999999999998</v>
      </c>
      <c r="I58" s="233"/>
    </row>
    <row r="59" spans="2:9">
      <c r="B59" s="1381"/>
      <c r="C59" s="1384"/>
      <c r="D59" s="1130"/>
      <c r="E59" s="249" t="s">
        <v>92</v>
      </c>
      <c r="F59" s="249" t="s">
        <v>27</v>
      </c>
      <c r="G59" s="250">
        <f>+ROUND('物質収支（既存）【例】'!R16,2)</f>
        <v>73.599999999999994</v>
      </c>
      <c r="H59" s="250">
        <f>+ROUND('物質収支（既存）【例】'!R67,2)</f>
        <v>73.599999999999994</v>
      </c>
      <c r="I59" s="233"/>
    </row>
    <row r="60" spans="2:9" ht="16.5" thickBot="1">
      <c r="B60" s="1381"/>
      <c r="C60" s="1387"/>
      <c r="D60" s="1390"/>
      <c r="E60" s="251" t="s">
        <v>93</v>
      </c>
      <c r="F60" s="251" t="s">
        <v>26</v>
      </c>
      <c r="G60" s="252">
        <f>+ROUND('物質収支（既存）【例】'!R18,2)</f>
        <v>0.8</v>
      </c>
      <c r="H60" s="252">
        <f>+ROUND('物質収支（既存）【例】'!R69,2)</f>
        <v>0.8</v>
      </c>
      <c r="I60" s="253"/>
    </row>
    <row r="61" spans="2:9" ht="15.75">
      <c r="B61" s="1381"/>
      <c r="C61" s="1383" t="str">
        <f>+③基本情報入力【例】!AA29</f>
        <v>A市・B町・C町</v>
      </c>
      <c r="D61" s="1388" t="str">
        <f>+③基本情報入力【例】!AA30</f>
        <v>生ごみ</v>
      </c>
      <c r="E61" s="246" t="s">
        <v>333</v>
      </c>
      <c r="F61" s="246" t="s">
        <v>2</v>
      </c>
      <c r="G61" s="247">
        <f>ROUND(+'物質収支（既存）【例】'!S8,2)</f>
        <v>4</v>
      </c>
      <c r="H61" s="247">
        <f>ROUND(+'物質収支（既存）【例】'!S59,2)</f>
        <v>4.8</v>
      </c>
      <c r="I61" s="248"/>
    </row>
    <row r="62" spans="2:9" ht="15.75">
      <c r="B62" s="1381"/>
      <c r="C62" s="1384"/>
      <c r="D62" s="1389"/>
      <c r="E62" s="249" t="s">
        <v>334</v>
      </c>
      <c r="F62" s="249" t="s">
        <v>220</v>
      </c>
      <c r="G62" s="250">
        <f>G61*365</f>
        <v>1460</v>
      </c>
      <c r="H62" s="250">
        <f>H61*365</f>
        <v>1752</v>
      </c>
      <c r="I62" s="233"/>
    </row>
    <row r="63" spans="2:9">
      <c r="B63" s="1381"/>
      <c r="C63" s="1384"/>
      <c r="D63" s="1130"/>
      <c r="E63" s="249" t="s">
        <v>42</v>
      </c>
      <c r="F63" s="249" t="s">
        <v>21</v>
      </c>
      <c r="G63" s="250">
        <f>+'物質収支（既存）【例】'!S15</f>
        <v>25.9</v>
      </c>
      <c r="H63" s="250">
        <f>+'物質収支（既存）【例】'!S66</f>
        <v>25.9</v>
      </c>
      <c r="I63" s="233"/>
    </row>
    <row r="64" spans="2:9">
      <c r="B64" s="1381"/>
      <c r="C64" s="1384"/>
      <c r="D64" s="1130"/>
      <c r="E64" s="249" t="s">
        <v>92</v>
      </c>
      <c r="F64" s="249" t="s">
        <v>27</v>
      </c>
      <c r="G64" s="250">
        <f>ROUND('物質収支（既存）【例】'!S16,2)</f>
        <v>87.9</v>
      </c>
      <c r="H64" s="250">
        <f>ROUND(+'物質収支（既存）【例】'!S67,2)</f>
        <v>87.9</v>
      </c>
      <c r="I64" s="233"/>
    </row>
    <row r="65" spans="2:9" ht="16.5" thickBot="1">
      <c r="B65" s="1381"/>
      <c r="C65" s="1387"/>
      <c r="D65" s="1390"/>
      <c r="E65" s="251" t="s">
        <v>93</v>
      </c>
      <c r="F65" s="251" t="s">
        <v>26</v>
      </c>
      <c r="G65" s="252">
        <f>ROUND('物質収支（既存）【例】'!S18,2)</f>
        <v>0.9</v>
      </c>
      <c r="H65" s="252">
        <f>ROUND(+'物質収支（既存）【例】'!S69,2)</f>
        <v>0.9</v>
      </c>
      <c r="I65" s="253"/>
    </row>
    <row r="66" spans="2:9" ht="15.75">
      <c r="B66" s="1381"/>
      <c r="C66" s="1383">
        <f>+③基本情報入力【例】!AF29</f>
        <v>0</v>
      </c>
      <c r="D66" s="1388">
        <f>+③基本情報入力【例】!AF30</f>
        <v>0</v>
      </c>
      <c r="E66" s="246" t="s">
        <v>333</v>
      </c>
      <c r="F66" s="246" t="s">
        <v>2</v>
      </c>
      <c r="G66" s="247">
        <f>ROUND(+'物質収支（既存）【例】'!T8,2)</f>
        <v>0</v>
      </c>
      <c r="H66" s="247">
        <f>ROUND('物質収支（既存）【例】'!T59,2)</f>
        <v>0</v>
      </c>
      <c r="I66" s="248"/>
    </row>
    <row r="67" spans="2:9" ht="15.75">
      <c r="B67" s="1381"/>
      <c r="C67" s="1384"/>
      <c r="D67" s="1389"/>
      <c r="E67" s="249" t="s">
        <v>334</v>
      </c>
      <c r="F67" s="249" t="s">
        <v>220</v>
      </c>
      <c r="G67" s="250">
        <f>G66*365</f>
        <v>0</v>
      </c>
      <c r="H67" s="250">
        <f>H66*365</f>
        <v>0</v>
      </c>
      <c r="I67" s="233"/>
    </row>
    <row r="68" spans="2:9">
      <c r="B68" s="1381"/>
      <c r="C68" s="1384"/>
      <c r="D68" s="1130"/>
      <c r="E68" s="249" t="s">
        <v>42</v>
      </c>
      <c r="F68" s="249" t="s">
        <v>21</v>
      </c>
      <c r="G68" s="250">
        <f>+'物質収支（既存）【例】'!T15</f>
        <v>0</v>
      </c>
      <c r="H68" s="250">
        <f>+'物質収支（既存）【例】'!T66</f>
        <v>0</v>
      </c>
      <c r="I68" s="233"/>
    </row>
    <row r="69" spans="2:9">
      <c r="B69" s="1381"/>
      <c r="C69" s="1384"/>
      <c r="D69" s="1130"/>
      <c r="E69" s="249" t="s">
        <v>92</v>
      </c>
      <c r="F69" s="249" t="s">
        <v>27</v>
      </c>
      <c r="G69" s="250">
        <f>ROUND('物質収支（既存）【例】'!T16,2)</f>
        <v>0</v>
      </c>
      <c r="H69" s="250">
        <f>ROUND(+'物質収支（既存）【例】'!T67,2)</f>
        <v>0</v>
      </c>
      <c r="I69" s="233"/>
    </row>
    <row r="70" spans="2:9" ht="16.5" thickBot="1">
      <c r="B70" s="1381"/>
      <c r="C70" s="1387"/>
      <c r="D70" s="1390"/>
      <c r="E70" s="251" t="s">
        <v>93</v>
      </c>
      <c r="F70" s="251" t="s">
        <v>26</v>
      </c>
      <c r="G70" s="252">
        <f>ROUND('物質収支（既存）【例】'!T18,2)</f>
        <v>0</v>
      </c>
      <c r="H70" s="252">
        <f>ROUND(+'物質収支（既存）【例】'!T69,2)</f>
        <v>0</v>
      </c>
      <c r="I70" s="253"/>
    </row>
    <row r="71" spans="2:9" ht="15.75">
      <c r="B71" s="1381"/>
      <c r="C71" s="1383">
        <f>+③基本情報入力【例】!AK29</f>
        <v>0</v>
      </c>
      <c r="D71" s="1388">
        <f>+③基本情報入力【例】!AK30</f>
        <v>0</v>
      </c>
      <c r="E71" s="246" t="s">
        <v>333</v>
      </c>
      <c r="F71" s="246" t="s">
        <v>2</v>
      </c>
      <c r="G71" s="247">
        <f>ROUND('物質収支（既存）【例】'!U8,2)</f>
        <v>0</v>
      </c>
      <c r="H71" s="247">
        <f>ROUND('物質収支（既存）【例】'!U59,2)</f>
        <v>0</v>
      </c>
      <c r="I71" s="248"/>
    </row>
    <row r="72" spans="2:9" ht="15.75">
      <c r="B72" s="1381"/>
      <c r="C72" s="1384"/>
      <c r="D72" s="1389"/>
      <c r="E72" s="249" t="s">
        <v>334</v>
      </c>
      <c r="F72" s="249" t="s">
        <v>220</v>
      </c>
      <c r="G72" s="250">
        <f>G71*365</f>
        <v>0</v>
      </c>
      <c r="H72" s="250">
        <f>H71*365</f>
        <v>0</v>
      </c>
      <c r="I72" s="233"/>
    </row>
    <row r="73" spans="2:9">
      <c r="B73" s="1381"/>
      <c r="C73" s="1384"/>
      <c r="D73" s="1130"/>
      <c r="E73" s="249" t="s">
        <v>42</v>
      </c>
      <c r="F73" s="249" t="s">
        <v>21</v>
      </c>
      <c r="G73" s="250">
        <f>+'物質収支（既存）【例】'!U15</f>
        <v>0</v>
      </c>
      <c r="H73" s="250">
        <f>+'物質収支（既存）【例】'!U66</f>
        <v>0</v>
      </c>
      <c r="I73" s="233"/>
    </row>
    <row r="74" spans="2:9">
      <c r="B74" s="1381"/>
      <c r="C74" s="1384"/>
      <c r="D74" s="1130"/>
      <c r="E74" s="249" t="s">
        <v>92</v>
      </c>
      <c r="F74" s="249" t="s">
        <v>27</v>
      </c>
      <c r="G74" s="250">
        <f>ROUND('物質収支（既存）【例】'!U16,2)</f>
        <v>0</v>
      </c>
      <c r="H74" s="250">
        <f>ROUND(+'物質収支（既存）【例】'!U67,2)</f>
        <v>0</v>
      </c>
      <c r="I74" s="233"/>
    </row>
    <row r="75" spans="2:9" ht="16.5" thickBot="1">
      <c r="B75" s="1381"/>
      <c r="C75" s="1387"/>
      <c r="D75" s="1390"/>
      <c r="E75" s="251" t="s">
        <v>93</v>
      </c>
      <c r="F75" s="251" t="s">
        <v>26</v>
      </c>
      <c r="G75" s="252">
        <f>ROUND('物質収支（既存）【例】'!U18,2)</f>
        <v>0</v>
      </c>
      <c r="H75" s="252">
        <f>ROUND(+'物質収支（既存）【例】'!U69,2)</f>
        <v>0</v>
      </c>
      <c r="I75" s="253"/>
    </row>
    <row r="76" spans="2:9" ht="15.75">
      <c r="B76" s="1381"/>
      <c r="C76" s="1383">
        <f>+③基本情報入力【例】!AP29</f>
        <v>0</v>
      </c>
      <c r="D76" s="1388">
        <f>+③基本情報入力【例】!AP30</f>
        <v>0</v>
      </c>
      <c r="E76" s="246" t="s">
        <v>333</v>
      </c>
      <c r="F76" s="246" t="s">
        <v>2</v>
      </c>
      <c r="G76" s="247">
        <f>ROUND('物質収支（既存）【例】'!V8,2)</f>
        <v>0</v>
      </c>
      <c r="H76" s="247">
        <f>ROUND(+'物質収支（既存）【例】'!V59,2)</f>
        <v>0</v>
      </c>
      <c r="I76" s="248"/>
    </row>
    <row r="77" spans="2:9" ht="15.75">
      <c r="B77" s="1381"/>
      <c r="C77" s="1384"/>
      <c r="D77" s="1389"/>
      <c r="E77" s="249" t="s">
        <v>334</v>
      </c>
      <c r="F77" s="249" t="s">
        <v>220</v>
      </c>
      <c r="G77" s="250">
        <f>G76*365</f>
        <v>0</v>
      </c>
      <c r="H77" s="250">
        <f>H76*365</f>
        <v>0</v>
      </c>
      <c r="I77" s="233"/>
    </row>
    <row r="78" spans="2:9">
      <c r="B78" s="1381"/>
      <c r="C78" s="1384"/>
      <c r="D78" s="1130"/>
      <c r="E78" s="249" t="s">
        <v>42</v>
      </c>
      <c r="F78" s="249" t="s">
        <v>21</v>
      </c>
      <c r="G78" s="250">
        <f>+'物質収支（既存）【例】'!V15</f>
        <v>0</v>
      </c>
      <c r="H78" s="250">
        <f>+'物質収支（既存）【例】'!V66</f>
        <v>0</v>
      </c>
      <c r="I78" s="233"/>
    </row>
    <row r="79" spans="2:9">
      <c r="B79" s="1381"/>
      <c r="C79" s="1384"/>
      <c r="D79" s="1130"/>
      <c r="E79" s="249" t="s">
        <v>92</v>
      </c>
      <c r="F79" s="249" t="s">
        <v>27</v>
      </c>
      <c r="G79" s="250">
        <f>ROUND('物質収支（既存）【例】'!V16,2)</f>
        <v>0</v>
      </c>
      <c r="H79" s="250">
        <f>ROUND(+'物質収支（既存）【例】'!V67,2)</f>
        <v>0</v>
      </c>
      <c r="I79" s="233"/>
    </row>
    <row r="80" spans="2:9" ht="16.5" thickBot="1">
      <c r="B80" s="1381"/>
      <c r="C80" s="1387"/>
      <c r="D80" s="1390"/>
      <c r="E80" s="251" t="s">
        <v>93</v>
      </c>
      <c r="F80" s="251" t="s">
        <v>26</v>
      </c>
      <c r="G80" s="252">
        <f>ROUND('物質収支（既存）【例】'!V18,2)</f>
        <v>0</v>
      </c>
      <c r="H80" s="252">
        <f>ROUND(+'物質収支（既存）【例】'!V69,2)</f>
        <v>0</v>
      </c>
      <c r="I80" s="253"/>
    </row>
    <row r="81" spans="2:9" ht="15.75">
      <c r="B81" s="1381"/>
      <c r="C81" s="1383">
        <f>+③基本情報入力【例】!AU29</f>
        <v>0</v>
      </c>
      <c r="D81" s="1388">
        <f>+③基本情報入力【例】!AU30</f>
        <v>0</v>
      </c>
      <c r="E81" s="246" t="s">
        <v>333</v>
      </c>
      <c r="F81" s="246" t="s">
        <v>2</v>
      </c>
      <c r="G81" s="247">
        <f>ROUND('物質収支（既存）【例】'!W8,2)</f>
        <v>0</v>
      </c>
      <c r="H81" s="247">
        <f>ROUND(+'物質収支（既存）【例】'!W59,2)</f>
        <v>0</v>
      </c>
      <c r="I81" s="248"/>
    </row>
    <row r="82" spans="2:9" ht="15.75">
      <c r="B82" s="1381"/>
      <c r="C82" s="1384"/>
      <c r="D82" s="1389"/>
      <c r="E82" s="249" t="s">
        <v>334</v>
      </c>
      <c r="F82" s="249" t="s">
        <v>220</v>
      </c>
      <c r="G82" s="250">
        <f>G81*365</f>
        <v>0</v>
      </c>
      <c r="H82" s="250">
        <f>H81*365</f>
        <v>0</v>
      </c>
      <c r="I82" s="233"/>
    </row>
    <row r="83" spans="2:9">
      <c r="B83" s="1381"/>
      <c r="C83" s="1384"/>
      <c r="D83" s="1130"/>
      <c r="E83" s="249" t="s">
        <v>42</v>
      </c>
      <c r="F83" s="249" t="s">
        <v>21</v>
      </c>
      <c r="G83" s="250">
        <f>+'物質収支（既存）【例】'!W15</f>
        <v>0</v>
      </c>
      <c r="H83" s="250">
        <f>+'物質収支（既存）【例】'!W66</f>
        <v>0</v>
      </c>
      <c r="I83" s="233"/>
    </row>
    <row r="84" spans="2:9">
      <c r="B84" s="1381"/>
      <c r="C84" s="1384"/>
      <c r="D84" s="1130"/>
      <c r="E84" s="249" t="s">
        <v>92</v>
      </c>
      <c r="F84" s="249" t="s">
        <v>27</v>
      </c>
      <c r="G84" s="250">
        <f>ROUND('物質収支（既存）【例】'!W16,2)</f>
        <v>0</v>
      </c>
      <c r="H84" s="250">
        <f>ROUND(+'物質収支（既存）【例】'!W67,2)</f>
        <v>0</v>
      </c>
      <c r="I84" s="233"/>
    </row>
    <row r="85" spans="2:9" ht="16.5" thickBot="1">
      <c r="B85" s="1381"/>
      <c r="C85" s="1387"/>
      <c r="D85" s="1390"/>
      <c r="E85" s="251" t="s">
        <v>93</v>
      </c>
      <c r="F85" s="251" t="s">
        <v>26</v>
      </c>
      <c r="G85" s="252">
        <f>ROUND('物質収支（既存）【例】'!W18,2)</f>
        <v>0</v>
      </c>
      <c r="H85" s="252">
        <f>ROUND(+'物質収支（既存）【例】'!W69,2)</f>
        <v>0</v>
      </c>
      <c r="I85" s="253"/>
    </row>
    <row r="86" spans="2:9" ht="15.75">
      <c r="B86" s="1381"/>
      <c r="C86" s="1391" t="s">
        <v>157</v>
      </c>
      <c r="D86" s="1392"/>
      <c r="E86" s="246" t="s">
        <v>333</v>
      </c>
      <c r="F86" s="246" t="s">
        <v>2</v>
      </c>
      <c r="G86" s="247">
        <f>ROUND('物質収支（既存）【例】'!X10,2)</f>
        <v>60.1</v>
      </c>
      <c r="H86" s="247">
        <f>ROUND('物質収支（既存）【例】'!X61,2)</f>
        <v>72.12</v>
      </c>
      <c r="I86" s="248"/>
    </row>
    <row r="87" spans="2:9" ht="15.75">
      <c r="B87" s="1381"/>
      <c r="C87" s="1393"/>
      <c r="D87" s="1394"/>
      <c r="E87" s="249" t="s">
        <v>334</v>
      </c>
      <c r="F87" s="249" t="s">
        <v>220</v>
      </c>
      <c r="G87" s="250">
        <f>G86*365</f>
        <v>21936.5</v>
      </c>
      <c r="H87" s="250">
        <f>H86*365</f>
        <v>26323.800000000003</v>
      </c>
      <c r="I87" s="233"/>
    </row>
    <row r="88" spans="2:9">
      <c r="B88" s="1381"/>
      <c r="C88" s="1393"/>
      <c r="D88" s="1394"/>
      <c r="E88" s="249" t="s">
        <v>42</v>
      </c>
      <c r="F88" s="249" t="s">
        <v>21</v>
      </c>
      <c r="G88" s="250">
        <f>ROUND('物質収支（既存）【例】'!X15,2)</f>
        <v>3.8</v>
      </c>
      <c r="H88" s="250">
        <f>ROUND('物質収支（既存）【例】'!X66,2)</f>
        <v>3.8</v>
      </c>
      <c r="I88" s="233"/>
    </row>
    <row r="89" spans="2:9">
      <c r="B89" s="1381"/>
      <c r="C89" s="1393"/>
      <c r="D89" s="1394"/>
      <c r="E89" s="249" t="s">
        <v>92</v>
      </c>
      <c r="F89" s="249" t="s">
        <v>27</v>
      </c>
      <c r="G89" s="250">
        <f>ROUND('物質収支（既存）【例】'!X16,2)</f>
        <v>82.6</v>
      </c>
      <c r="H89" s="250">
        <f>ROUND('物質収支（既存）【例】'!X67,2)</f>
        <v>82.4</v>
      </c>
      <c r="I89" s="233"/>
    </row>
    <row r="90" spans="2:9" ht="16.5" thickBot="1">
      <c r="B90" s="1382"/>
      <c r="C90" s="1395"/>
      <c r="D90" s="1396"/>
      <c r="E90" s="251" t="s">
        <v>45</v>
      </c>
      <c r="F90" s="251" t="s">
        <v>2</v>
      </c>
      <c r="G90" s="252">
        <f>ROUND(+G86*G88,2)</f>
        <v>228.38</v>
      </c>
      <c r="H90" s="252">
        <f>ROUND(+H86*H88,2)</f>
        <v>274.06</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rintOptions horizontalCentered="1"/>
  <pageMargins left="0" right="0" top="0.74803149606299213" bottom="0" header="0.31496062992125984" footer="0.31496062992125984"/>
  <pageSetup paperSize="8"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289"/>
  <sheetViews>
    <sheetView workbookViewId="0"/>
  </sheetViews>
  <sheetFormatPr defaultRowHeight="13.5"/>
  <cols>
    <col min="1" max="1" width="9" style="148"/>
    <col min="2" max="2" width="9" style="58"/>
    <col min="3" max="3" width="23" style="58" customWidth="1"/>
    <col min="4" max="4" width="13" style="58" bestFit="1"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16384" width="9" style="58"/>
  </cols>
  <sheetData>
    <row r="1" spans="1:18">
      <c r="J1" s="75"/>
      <c r="K1" s="75"/>
      <c r="L1" s="75"/>
      <c r="M1" s="75"/>
    </row>
    <row r="2" spans="1:18">
      <c r="B2" t="s">
        <v>229</v>
      </c>
      <c r="C2" s="58" t="s">
        <v>574</v>
      </c>
      <c r="J2" s="73"/>
      <c r="K2" s="147"/>
      <c r="L2" s="73"/>
      <c r="M2" s="73"/>
    </row>
    <row r="3" spans="1:18">
      <c r="B3" s="148" t="str">
        <f>+③基本情報入力【例】!E51</f>
        <v>①</v>
      </c>
      <c r="C3" s="1232" t="str">
        <f>+③基本情報入力【例】!E52</f>
        <v>A市浄化センター</v>
      </c>
      <c r="D3" s="1232"/>
    </row>
    <row r="4" spans="1:18">
      <c r="B4" s="400" t="s">
        <v>230</v>
      </c>
      <c r="C4" s="383" t="s">
        <v>231</v>
      </c>
      <c r="D4" s="383" t="s">
        <v>232</v>
      </c>
      <c r="E4" s="383" t="s">
        <v>233</v>
      </c>
      <c r="F4" s="383" t="s">
        <v>234</v>
      </c>
      <c r="G4" s="1415" t="s">
        <v>235</v>
      </c>
      <c r="H4" s="1415"/>
      <c r="I4" s="1415" t="s">
        <v>236</v>
      </c>
      <c r="J4" s="1415"/>
      <c r="K4" s="1415" t="s">
        <v>237</v>
      </c>
      <c r="L4" s="1415"/>
      <c r="M4" s="1416" t="s">
        <v>291</v>
      </c>
      <c r="N4" s="1416"/>
      <c r="O4" s="77" t="s">
        <v>238</v>
      </c>
      <c r="P4" s="77" t="s">
        <v>239</v>
      </c>
      <c r="Q4" s="77" t="s">
        <v>240</v>
      </c>
      <c r="R4" s="383" t="s">
        <v>97</v>
      </c>
    </row>
    <row r="5" spans="1:18" ht="15.75">
      <c r="B5" s="1417"/>
      <c r="C5" s="1419" t="s">
        <v>241</v>
      </c>
      <c r="D5" s="1221" t="s">
        <v>242</v>
      </c>
      <c r="E5" s="404">
        <f>+③基本情報入力【例】!E53</f>
        <v>1</v>
      </c>
      <c r="F5" s="78" t="s">
        <v>3</v>
      </c>
      <c r="G5" s="79" t="s">
        <v>11</v>
      </c>
      <c r="H5" s="79" t="s">
        <v>294</v>
      </c>
      <c r="I5" s="80">
        <f t="shared" ref="I5:I21" si="0">K5*(1-O5)*(P5+P5/((P5+1)^Q5-1))</f>
        <v>0.8490701183337509</v>
      </c>
      <c r="J5" s="72" t="s">
        <v>124</v>
      </c>
      <c r="K5" s="70">
        <f>1.31*M5^0.611*E5</f>
        <v>14.988697089091314</v>
      </c>
      <c r="L5" s="79" t="s">
        <v>120</v>
      </c>
      <c r="M5" s="222">
        <f>IFERROR('計算条件（既存）【例】'!H7/E5,0)</f>
        <v>54</v>
      </c>
      <c r="N5" s="1221" t="s">
        <v>243</v>
      </c>
      <c r="O5" s="81">
        <f>+③基本情報入力【例】!$Y$61</f>
        <v>0.1</v>
      </c>
      <c r="P5" s="82">
        <f>+③基本情報入力【例】!$AB$61</f>
        <v>2.3E-2</v>
      </c>
      <c r="Q5" s="83">
        <f>+③基本情報入力【例】!$AE$61</f>
        <v>20</v>
      </c>
      <c r="R5" s="72" t="s">
        <v>244</v>
      </c>
    </row>
    <row r="6" spans="1:18" ht="15.75">
      <c r="B6" s="1417"/>
      <c r="C6" s="1419"/>
      <c r="D6" s="1221"/>
      <c r="E6" s="407">
        <v>0</v>
      </c>
      <c r="F6" s="78" t="s">
        <v>8</v>
      </c>
      <c r="G6" s="79" t="s">
        <v>11</v>
      </c>
      <c r="H6" s="79" t="s">
        <v>293</v>
      </c>
      <c r="I6" s="80">
        <f t="shared" si="0"/>
        <v>0</v>
      </c>
      <c r="J6" s="72" t="s">
        <v>124</v>
      </c>
      <c r="K6" s="70">
        <f>1.24*M6^0.598*E6</f>
        <v>0</v>
      </c>
      <c r="L6" s="79" t="s">
        <v>120</v>
      </c>
      <c r="M6" s="222">
        <f>+M5</f>
        <v>54</v>
      </c>
      <c r="N6" s="1221"/>
      <c r="O6" s="81">
        <f>+③基本情報入力【例】!$Y$63</f>
        <v>0.1</v>
      </c>
      <c r="P6" s="84">
        <f>+③基本情報入力【例】!$AB$63</f>
        <v>2.3E-2</v>
      </c>
      <c r="Q6" s="83">
        <f>+③基本情報入力【例】!$AE$63</f>
        <v>40</v>
      </c>
      <c r="R6" s="72" t="s">
        <v>244</v>
      </c>
    </row>
    <row r="7" spans="1:18" ht="15.75">
      <c r="B7" s="1417"/>
      <c r="C7" s="1419" t="s">
        <v>22</v>
      </c>
      <c r="D7" s="1221"/>
      <c r="E7" s="404">
        <f>+③基本情報入力【例】!E54</f>
        <v>1</v>
      </c>
      <c r="F7" s="78" t="s">
        <v>3</v>
      </c>
      <c r="G7" s="79" t="s">
        <v>11</v>
      </c>
      <c r="H7" s="79" t="s">
        <v>245</v>
      </c>
      <c r="I7" s="80">
        <f t="shared" si="0"/>
        <v>7.557677581168261</v>
      </c>
      <c r="J7" s="72" t="s">
        <v>124</v>
      </c>
      <c r="K7" s="70">
        <f>22.7*M7^0.444*E7</f>
        <v>133.41623679261269</v>
      </c>
      <c r="L7" s="79" t="s">
        <v>120</v>
      </c>
      <c r="M7" s="222">
        <f>IFERROR('計算条件（既存）【例】'!H7/E7,0)</f>
        <v>54</v>
      </c>
      <c r="N7" s="1221" t="s">
        <v>243</v>
      </c>
      <c r="O7" s="81">
        <f>+③基本情報入力【例】!$Y$61</f>
        <v>0.1</v>
      </c>
      <c r="P7" s="82">
        <f>+③基本情報入力【例】!$AB$61</f>
        <v>2.3E-2</v>
      </c>
      <c r="Q7" s="83">
        <f>+③基本情報入力【例】!$AE$61</f>
        <v>20</v>
      </c>
      <c r="R7" s="72" t="s">
        <v>244</v>
      </c>
    </row>
    <row r="8" spans="1:18" ht="15.75">
      <c r="B8" s="1417"/>
      <c r="C8" s="1419"/>
      <c r="D8" s="1221"/>
      <c r="E8" s="407">
        <v>0</v>
      </c>
      <c r="F8" s="78" t="s">
        <v>8</v>
      </c>
      <c r="G8" s="79" t="s">
        <v>11</v>
      </c>
      <c r="H8" s="79" t="s">
        <v>295</v>
      </c>
      <c r="I8" s="80">
        <f t="shared" si="0"/>
        <v>0</v>
      </c>
      <c r="J8" s="72" t="s">
        <v>124</v>
      </c>
      <c r="K8" s="70">
        <f>43.4*M8^0.373*E8</f>
        <v>0</v>
      </c>
      <c r="L8" s="79" t="s">
        <v>120</v>
      </c>
      <c r="M8" s="222">
        <f>+M7</f>
        <v>54</v>
      </c>
      <c r="N8" s="1221"/>
      <c r="O8" s="81">
        <f>+③基本情報入力【例】!$Y$63</f>
        <v>0.1</v>
      </c>
      <c r="P8" s="84">
        <f>+③基本情報入力【例】!$AB$63</f>
        <v>2.3E-2</v>
      </c>
      <c r="Q8" s="83">
        <f>+③基本情報入力【例】!$AE$63</f>
        <v>40</v>
      </c>
      <c r="R8" s="72" t="s">
        <v>244</v>
      </c>
    </row>
    <row r="9" spans="1:18" ht="15.75">
      <c r="B9" s="1417"/>
      <c r="C9" s="384" t="s">
        <v>246</v>
      </c>
      <c r="D9" s="72"/>
      <c r="E9" s="404">
        <f>IF(E5=0,0,E5/E5)</f>
        <v>1</v>
      </c>
      <c r="F9" s="384" t="s">
        <v>4</v>
      </c>
      <c r="G9" s="79" t="s">
        <v>11</v>
      </c>
      <c r="H9" s="72" t="s">
        <v>292</v>
      </c>
      <c r="I9" s="80">
        <f t="shared" si="0"/>
        <v>8.1154593570543092</v>
      </c>
      <c r="J9" s="72" t="s">
        <v>124</v>
      </c>
      <c r="K9" s="69">
        <f>17.8*M9^0.464*E9</f>
        <v>113.3054257122691</v>
      </c>
      <c r="L9" s="72" t="s">
        <v>120</v>
      </c>
      <c r="M9" s="222">
        <f>IFERROR('計算条件（既存）【例】'!H7/E9,0)</f>
        <v>54</v>
      </c>
      <c r="N9" s="385" t="s">
        <v>243</v>
      </c>
      <c r="O9" s="81">
        <f>+③基本情報入力【例】!$Y$62</f>
        <v>0.1</v>
      </c>
      <c r="P9" s="84">
        <f>+③基本情報入力【例】!$AB$62</f>
        <v>2.3E-2</v>
      </c>
      <c r="Q9" s="83">
        <f>+③基本情報入力【例】!$AE$62</f>
        <v>15</v>
      </c>
      <c r="R9" s="72" t="s">
        <v>247</v>
      </c>
    </row>
    <row r="10" spans="1:18" ht="15.75">
      <c r="B10" s="1417"/>
      <c r="C10" s="1407" t="s">
        <v>18</v>
      </c>
      <c r="D10" s="1408" t="s">
        <v>249</v>
      </c>
      <c r="E10" s="404">
        <f>+③基本情報入力【例】!E55</f>
        <v>0</v>
      </c>
      <c r="F10" s="384" t="s">
        <v>3</v>
      </c>
      <c r="G10" s="79" t="s">
        <v>11</v>
      </c>
      <c r="H10" s="72" t="s">
        <v>134</v>
      </c>
      <c r="I10" s="80">
        <f t="shared" si="0"/>
        <v>0</v>
      </c>
      <c r="J10" s="72" t="s">
        <v>124</v>
      </c>
      <c r="K10" s="69">
        <f>124*(M10/500)^0.6*E10</f>
        <v>0</v>
      </c>
      <c r="L10" s="72" t="s">
        <v>120</v>
      </c>
      <c r="M10" s="146">
        <f>IFERROR(ROUNDUP('物質収支（既存）【例】'!I10*25,-1)/E10,0)</f>
        <v>0</v>
      </c>
      <c r="N10" s="385" t="s">
        <v>1</v>
      </c>
      <c r="O10" s="81">
        <f>+③基本情報入力【例】!$Y$61</f>
        <v>0.1</v>
      </c>
      <c r="P10" s="82">
        <f>+③基本情報入力【例】!$AB$61</f>
        <v>2.3E-2</v>
      </c>
      <c r="Q10" s="83">
        <f>+③基本情報入力【例】!$AE$61</f>
        <v>20</v>
      </c>
      <c r="R10" s="72" t="s">
        <v>250</v>
      </c>
    </row>
    <row r="11" spans="1:18" ht="15.75">
      <c r="B11" s="1417"/>
      <c r="C11" s="1407"/>
      <c r="D11" s="1408"/>
      <c r="E11" s="407">
        <f>+③基本情報入力【例】!E55</f>
        <v>0</v>
      </c>
      <c r="F11" s="384" t="s">
        <v>8</v>
      </c>
      <c r="G11" s="79" t="s">
        <v>11</v>
      </c>
      <c r="H11" s="72" t="s">
        <v>135</v>
      </c>
      <c r="I11" s="80">
        <f t="shared" si="0"/>
        <v>0</v>
      </c>
      <c r="J11" s="72" t="s">
        <v>124</v>
      </c>
      <c r="K11" s="69">
        <f>44.1*(M11/500)^0.6*E11</f>
        <v>0</v>
      </c>
      <c r="L11" s="72" t="s">
        <v>120</v>
      </c>
      <c r="M11" s="146">
        <f>+M10</f>
        <v>0</v>
      </c>
      <c r="N11" s="385" t="s">
        <v>1</v>
      </c>
      <c r="O11" s="81">
        <f>+③基本情報入力【例】!$Y$63</f>
        <v>0.1</v>
      </c>
      <c r="P11" s="84">
        <f>+③基本情報入力【例】!$AB$63</f>
        <v>2.3E-2</v>
      </c>
      <c r="Q11" s="83">
        <f>+③基本情報入力【例】!$AE$63</f>
        <v>40</v>
      </c>
      <c r="R11" s="86"/>
    </row>
    <row r="12" spans="1:18" ht="15.75">
      <c r="B12" s="1417"/>
      <c r="C12" s="384" t="s">
        <v>9</v>
      </c>
      <c r="D12" s="72"/>
      <c r="E12" s="404">
        <f>+③基本情報入力【例】!E55</f>
        <v>0</v>
      </c>
      <c r="F12" s="384" t="s">
        <v>3</v>
      </c>
      <c r="G12" s="79" t="s">
        <v>11</v>
      </c>
      <c r="H12" s="72" t="s">
        <v>300</v>
      </c>
      <c r="I12" s="80">
        <f t="shared" si="0"/>
        <v>0</v>
      </c>
      <c r="J12" s="72" t="s">
        <v>124</v>
      </c>
      <c r="K12" s="69">
        <f>10.4*M12^0.437*E12</f>
        <v>0</v>
      </c>
      <c r="L12" s="72" t="s">
        <v>120</v>
      </c>
      <c r="M12" s="146">
        <f>IFERROR(ROUNDUP('物質収支（既存）【例】'!I84/2,-1)/E12,0)</f>
        <v>0</v>
      </c>
      <c r="N12" s="385" t="s">
        <v>1</v>
      </c>
      <c r="O12" s="81">
        <f>+③基本情報入力【例】!$Y$61</f>
        <v>0.1</v>
      </c>
      <c r="P12" s="82">
        <f>+③基本情報入力【例】!$AB$61</f>
        <v>2.3E-2</v>
      </c>
      <c r="Q12" s="83">
        <f>+③基本情報入力【例】!$AE$61</f>
        <v>20</v>
      </c>
      <c r="R12" s="74" t="s">
        <v>251</v>
      </c>
    </row>
    <row r="13" spans="1:18" ht="15.75">
      <c r="B13" s="1417"/>
      <c r="C13" s="384" t="s">
        <v>16</v>
      </c>
      <c r="D13" s="72"/>
      <c r="E13" s="404">
        <f>+③基本情報入力【例】!E55</f>
        <v>0</v>
      </c>
      <c r="F13" s="384" t="s">
        <v>3</v>
      </c>
      <c r="G13" s="79" t="s">
        <v>11</v>
      </c>
      <c r="H13" s="72" t="s">
        <v>299</v>
      </c>
      <c r="I13" s="80">
        <f t="shared" si="0"/>
        <v>0</v>
      </c>
      <c r="J13" s="72" t="s">
        <v>124</v>
      </c>
      <c r="K13" s="69">
        <f>0.878*M13^0.761*E13</f>
        <v>0</v>
      </c>
      <c r="L13" s="72" t="s">
        <v>120</v>
      </c>
      <c r="M13" s="146">
        <f>IFERROR(ROUNDUP('物質収支（既存）【例】'!I84/24,0)/E13,0)</f>
        <v>0</v>
      </c>
      <c r="N13" s="385" t="s">
        <v>298</v>
      </c>
      <c r="O13" s="81">
        <f>+③基本情報入力【例】!$Y$61</f>
        <v>0.1</v>
      </c>
      <c r="P13" s="82">
        <f>+③基本情報入力【例】!$AB$61</f>
        <v>2.3E-2</v>
      </c>
      <c r="Q13" s="83">
        <f>+③基本情報入力【例】!$AE$61</f>
        <v>20</v>
      </c>
      <c r="R13" s="74" t="s">
        <v>252</v>
      </c>
    </row>
    <row r="14" spans="1:18" ht="15.75">
      <c r="A14" s="58"/>
      <c r="B14" s="1417"/>
      <c r="C14" s="1409" t="s">
        <v>10</v>
      </c>
      <c r="D14" s="1412"/>
      <c r="E14" s="404">
        <f>+③基本情報入力【例】!E56</f>
        <v>0</v>
      </c>
      <c r="F14" s="384" t="s">
        <v>3</v>
      </c>
      <c r="G14" s="79" t="s">
        <v>11</v>
      </c>
      <c r="H14" s="72" t="s">
        <v>297</v>
      </c>
      <c r="I14" s="80">
        <f t="shared" si="0"/>
        <v>0</v>
      </c>
      <c r="J14" s="72" t="s">
        <v>124</v>
      </c>
      <c r="K14" s="69">
        <f>31.9*M14^0.971*E14</f>
        <v>0</v>
      </c>
      <c r="L14" s="72" t="s">
        <v>120</v>
      </c>
      <c r="M14" s="222">
        <f>IFERROR('物質収支（既存）【例】'!I41/E14,0)</f>
        <v>0</v>
      </c>
      <c r="N14" s="385" t="s">
        <v>0</v>
      </c>
      <c r="O14" s="81">
        <f>+③基本情報入力【例】!$Y$61</f>
        <v>0.1</v>
      </c>
      <c r="P14" s="82">
        <f>+③基本情報入力【例】!$AB$61</f>
        <v>2.3E-2</v>
      </c>
      <c r="Q14" s="83">
        <f>+③基本情報入力【例】!$AE$61</f>
        <v>20</v>
      </c>
      <c r="R14" s="72" t="s">
        <v>253</v>
      </c>
    </row>
    <row r="15" spans="1:18" ht="15.75" customHeight="1">
      <c r="A15" s="58"/>
      <c r="B15" s="1417"/>
      <c r="C15" s="1410"/>
      <c r="D15" s="1413"/>
      <c r="E15" s="404">
        <f>+③基本情報入力【例】!E56</f>
        <v>0</v>
      </c>
      <c r="F15" s="384" t="s">
        <v>4</v>
      </c>
      <c r="G15" s="79" t="s">
        <v>11</v>
      </c>
      <c r="H15" s="72" t="s">
        <v>136</v>
      </c>
      <c r="I15" s="80">
        <f t="shared" si="0"/>
        <v>0</v>
      </c>
      <c r="J15" s="72" t="s">
        <v>124</v>
      </c>
      <c r="K15" s="69">
        <f>6.59*M15^0.809*E15</f>
        <v>0</v>
      </c>
      <c r="L15" s="72" t="s">
        <v>120</v>
      </c>
      <c r="M15" s="222">
        <f>+M14</f>
        <v>0</v>
      </c>
      <c r="N15" s="385" t="s">
        <v>0</v>
      </c>
      <c r="O15" s="81">
        <f>+③基本情報入力【例】!$Y$62</f>
        <v>0.1</v>
      </c>
      <c r="P15" s="84">
        <f>+③基本情報入力【例】!$AB$62</f>
        <v>2.3E-2</v>
      </c>
      <c r="Q15" s="83">
        <f>+③基本情報入力【例】!$AE$62</f>
        <v>15</v>
      </c>
      <c r="R15" s="72"/>
    </row>
    <row r="16" spans="1:18" ht="15.75">
      <c r="A16" s="58"/>
      <c r="B16" s="1417"/>
      <c r="C16" s="1411"/>
      <c r="D16" s="1414"/>
      <c r="E16" s="407">
        <f>+③基本情報入力【例】!E56</f>
        <v>0</v>
      </c>
      <c r="F16" s="384" t="s">
        <v>5</v>
      </c>
      <c r="G16" s="79" t="s">
        <v>11</v>
      </c>
      <c r="H16" s="72" t="s">
        <v>137</v>
      </c>
      <c r="I16" s="80">
        <f t="shared" si="0"/>
        <v>0</v>
      </c>
      <c r="J16" s="72" t="s">
        <v>124</v>
      </c>
      <c r="K16" s="69">
        <f>12.3*M16^0.941*E16</f>
        <v>0</v>
      </c>
      <c r="L16" s="72" t="s">
        <v>120</v>
      </c>
      <c r="M16" s="222">
        <f>+M14</f>
        <v>0</v>
      </c>
      <c r="N16" s="385" t="s">
        <v>0</v>
      </c>
      <c r="O16" s="81">
        <f>+③基本情報入力【例】!$Y$63</f>
        <v>0.1</v>
      </c>
      <c r="P16" s="84">
        <f>+③基本情報入力【例】!$AB$63</f>
        <v>2.3E-2</v>
      </c>
      <c r="Q16" s="83">
        <f>+③基本情報入力【例】!$AE$63</f>
        <v>40</v>
      </c>
      <c r="R16" s="72"/>
    </row>
    <row r="17" spans="1:18">
      <c r="A17" s="58"/>
      <c r="B17" s="1417"/>
      <c r="C17" s="1419" t="s">
        <v>414</v>
      </c>
      <c r="D17" s="1221"/>
      <c r="E17" s="404">
        <v>0</v>
      </c>
      <c r="F17" s="78" t="s">
        <v>415</v>
      </c>
      <c r="G17" s="79" t="s">
        <v>11</v>
      </c>
      <c r="H17" s="79" t="s">
        <v>418</v>
      </c>
      <c r="I17" s="80">
        <f>K17*(1-O17)*(P17+P17/((P17+1)^Q17-1))</f>
        <v>0</v>
      </c>
      <c r="J17" s="72" t="s">
        <v>124</v>
      </c>
      <c r="K17" s="70">
        <f>1.3132*M17*E17</f>
        <v>0</v>
      </c>
      <c r="L17" s="79" t="s">
        <v>120</v>
      </c>
      <c r="M17" s="222">
        <f>'物質収支（既存）【例】'!X87/24</f>
        <v>89.90625</v>
      </c>
      <c r="N17" s="1221" t="s">
        <v>425</v>
      </c>
      <c r="O17" s="81">
        <f>+③基本情報入力【例】!$Y$61</f>
        <v>0.1</v>
      </c>
      <c r="P17" s="82">
        <f>+③基本情報入力【例】!$AB$61</f>
        <v>2.3E-2</v>
      </c>
      <c r="Q17" s="83">
        <f>+③基本情報入力【例】!$AE$61</f>
        <v>20</v>
      </c>
      <c r="R17" s="72" t="s">
        <v>417</v>
      </c>
    </row>
    <row r="18" spans="1:18">
      <c r="A18" s="58"/>
      <c r="B18" s="1417"/>
      <c r="C18" s="1419"/>
      <c r="D18" s="1221"/>
      <c r="E18" s="407">
        <v>0</v>
      </c>
      <c r="F18" s="78" t="s">
        <v>5</v>
      </c>
      <c r="G18" s="79" t="s">
        <v>11</v>
      </c>
      <c r="H18" s="79" t="s">
        <v>419</v>
      </c>
      <c r="I18" s="80">
        <f>K18*(1-O18)*(P18+P18/((P18+1)^Q18-1))</f>
        <v>0</v>
      </c>
      <c r="J18" s="72" t="s">
        <v>124</v>
      </c>
      <c r="K18" s="70">
        <f>(0.0263*M18+5.8284)*E18</f>
        <v>0</v>
      </c>
      <c r="L18" s="79" t="s">
        <v>120</v>
      </c>
      <c r="M18" s="222">
        <f>'物質収支（既存）【例】'!X87/24</f>
        <v>89.90625</v>
      </c>
      <c r="N18" s="1221"/>
      <c r="O18" s="81">
        <f>+③基本情報入力【例】!$Y$63</f>
        <v>0.1</v>
      </c>
      <c r="P18" s="84">
        <f>+③基本情報入力【例】!$AB$63</f>
        <v>2.3E-2</v>
      </c>
      <c r="Q18" s="83">
        <f>+③基本情報入力【例】!$AE$63</f>
        <v>40</v>
      </c>
      <c r="R18" s="72" t="s">
        <v>417</v>
      </c>
    </row>
    <row r="19" spans="1:18" ht="15.75">
      <c r="A19" s="58"/>
      <c r="B19" s="1417"/>
      <c r="C19" s="1423" t="s">
        <v>310</v>
      </c>
      <c r="D19" s="1347"/>
      <c r="E19" s="404">
        <f>+③基本情報入力【例】!E57</f>
        <v>0</v>
      </c>
      <c r="F19" s="384" t="s">
        <v>3</v>
      </c>
      <c r="G19" s="144" t="s">
        <v>11</v>
      </c>
      <c r="H19" s="72" t="s">
        <v>317</v>
      </c>
      <c r="I19" s="94">
        <f t="shared" si="0"/>
        <v>0</v>
      </c>
      <c r="J19" s="97" t="s">
        <v>124</v>
      </c>
      <c r="K19" s="69">
        <f>188.8*M19^0.597*E19</f>
        <v>0</v>
      </c>
      <c r="L19" s="97" t="s">
        <v>120</v>
      </c>
      <c r="M19" s="222">
        <f>IFERROR('物質収支（既存）【例】'!I41/E19,0)</f>
        <v>0</v>
      </c>
      <c r="N19" s="387" t="s">
        <v>0</v>
      </c>
      <c r="O19" s="81">
        <f>+③基本情報入力【例】!$Y$61</f>
        <v>0.1</v>
      </c>
      <c r="P19" s="82">
        <f>+③基本情報入力【例】!$AB$61</f>
        <v>2.3E-2</v>
      </c>
      <c r="Q19" s="83">
        <f>+③基本情報入力【例】!$AE$61</f>
        <v>20</v>
      </c>
      <c r="R19" s="72" t="s">
        <v>316</v>
      </c>
    </row>
    <row r="20" spans="1:18" ht="15.75">
      <c r="A20" s="58"/>
      <c r="B20" s="1417"/>
      <c r="C20" s="1424"/>
      <c r="D20" s="1348"/>
      <c r="E20" s="404">
        <f>+③基本情報入力【例】!E57</f>
        <v>0</v>
      </c>
      <c r="F20" s="384" t="s">
        <v>4</v>
      </c>
      <c r="G20" s="144" t="s">
        <v>11</v>
      </c>
      <c r="H20" s="72" t="s">
        <v>315</v>
      </c>
      <c r="I20" s="94">
        <f t="shared" si="0"/>
        <v>0</v>
      </c>
      <c r="J20" s="97" t="s">
        <v>124</v>
      </c>
      <c r="K20" s="69">
        <f>72.6*M20^0.539*E20</f>
        <v>0</v>
      </c>
      <c r="L20" s="97" t="s">
        <v>120</v>
      </c>
      <c r="M20" s="222">
        <f>+M19</f>
        <v>0</v>
      </c>
      <c r="N20" s="387" t="s">
        <v>0</v>
      </c>
      <c r="O20" s="81">
        <f>+③基本情報入力【例】!$Y$62</f>
        <v>0.1</v>
      </c>
      <c r="P20" s="84">
        <f>+③基本情報入力【例】!$AB$62</f>
        <v>2.3E-2</v>
      </c>
      <c r="Q20" s="83">
        <f>+③基本情報入力【例】!$AE$62</f>
        <v>15</v>
      </c>
      <c r="R20" s="72"/>
    </row>
    <row r="21" spans="1:18" ht="16.5" thickBot="1">
      <c r="A21" s="58"/>
      <c r="B21" s="1417"/>
      <c r="C21" s="1425"/>
      <c r="D21" s="1426"/>
      <c r="E21" s="116">
        <f>+③基本情報入力【例】!E57</f>
        <v>0</v>
      </c>
      <c r="F21" s="390" t="s">
        <v>8</v>
      </c>
      <c r="G21" s="87" t="s">
        <v>11</v>
      </c>
      <c r="H21" s="88" t="s">
        <v>314</v>
      </c>
      <c r="I21" s="89">
        <f t="shared" si="0"/>
        <v>0</v>
      </c>
      <c r="J21" s="88" t="s">
        <v>124</v>
      </c>
      <c r="K21" s="90">
        <f>136.1*M21^0.38*E21</f>
        <v>0</v>
      </c>
      <c r="L21" s="88" t="s">
        <v>120</v>
      </c>
      <c r="M21" s="224">
        <f>+M19</f>
        <v>0</v>
      </c>
      <c r="N21" s="389" t="s">
        <v>0</v>
      </c>
      <c r="O21" s="91">
        <f>+③基本情報入力【例】!$Y$63</f>
        <v>0.1</v>
      </c>
      <c r="P21" s="92">
        <f>+③基本情報入力【例】!$AB$63</f>
        <v>2.3E-2</v>
      </c>
      <c r="Q21" s="93">
        <f>+③基本情報入力【例】!$AE$63</f>
        <v>40</v>
      </c>
      <c r="R21" s="88"/>
    </row>
    <row r="22" spans="1:18" ht="14.25" thickTop="1">
      <c r="A22" s="58"/>
      <c r="B22" s="1418"/>
      <c r="C22" s="1427" t="s">
        <v>259</v>
      </c>
      <c r="D22" s="1428"/>
      <c r="E22" s="1428"/>
      <c r="F22" s="1428"/>
      <c r="G22" s="1428"/>
      <c r="H22" s="1429"/>
      <c r="I22" s="126">
        <f>SUM(I5:I21)</f>
        <v>16.522207056556319</v>
      </c>
      <c r="J22" s="95" t="s">
        <v>124</v>
      </c>
      <c r="K22" s="143">
        <f>SUM(K5,K7,K9:K21)</f>
        <v>261.71035959397312</v>
      </c>
      <c r="L22" s="142" t="s">
        <v>120</v>
      </c>
      <c r="M22" s="98"/>
      <c r="N22" s="382"/>
      <c r="O22" s="99"/>
      <c r="P22" s="100"/>
      <c r="Q22" s="101"/>
      <c r="R22" s="101"/>
    </row>
    <row r="23" spans="1:18">
      <c r="A23" s="58"/>
      <c r="B23" s="381" t="s">
        <v>260</v>
      </c>
      <c r="C23" s="380" t="s">
        <v>231</v>
      </c>
      <c r="D23" s="380" t="s">
        <v>232</v>
      </c>
      <c r="E23" s="380" t="s">
        <v>233</v>
      </c>
      <c r="F23" s="380" t="s">
        <v>261</v>
      </c>
      <c r="G23" s="1432" t="s">
        <v>235</v>
      </c>
      <c r="H23" s="1432"/>
      <c r="I23" s="1432" t="s">
        <v>237</v>
      </c>
      <c r="J23" s="1432"/>
      <c r="K23" s="1433" t="s">
        <v>291</v>
      </c>
      <c r="L23" s="1433"/>
      <c r="M23" s="1432" t="s">
        <v>97</v>
      </c>
      <c r="N23" s="1432"/>
      <c r="O23" s="1432"/>
      <c r="P23" s="1432"/>
      <c r="Q23" s="1432"/>
      <c r="R23" s="1432"/>
    </row>
    <row r="24" spans="1:18" ht="15.75">
      <c r="A24" s="58"/>
      <c r="B24" s="1420"/>
      <c r="C24" s="384" t="s">
        <v>241</v>
      </c>
      <c r="D24" s="385" t="s">
        <v>242</v>
      </c>
      <c r="E24" s="404">
        <f>+③基本情報入力【例】!E53</f>
        <v>1</v>
      </c>
      <c r="F24" s="78" t="s">
        <v>262</v>
      </c>
      <c r="G24" s="79" t="s">
        <v>11</v>
      </c>
      <c r="H24" s="72" t="s">
        <v>290</v>
      </c>
      <c r="I24" s="80">
        <f>0.03*K24^0.628*E24</f>
        <v>0.32759609282294899</v>
      </c>
      <c r="J24" s="72" t="s">
        <v>124</v>
      </c>
      <c r="K24" s="222">
        <f>IFERROR('計算条件（既存）【例】'!G7/E24,0)</f>
        <v>45</v>
      </c>
      <c r="L24" s="385" t="s">
        <v>243</v>
      </c>
      <c r="M24" s="1217" t="s">
        <v>263</v>
      </c>
      <c r="N24" s="1218"/>
      <c r="O24" s="1218"/>
      <c r="P24" s="1218"/>
      <c r="Q24" s="1218"/>
      <c r="R24" s="1422"/>
    </row>
    <row r="25" spans="1:18" ht="15.75">
      <c r="B25" s="1420"/>
      <c r="C25" s="384" t="s">
        <v>22</v>
      </c>
      <c r="D25" s="385"/>
      <c r="E25" s="404">
        <f>+③基本情報入力【例】!E54</f>
        <v>1</v>
      </c>
      <c r="F25" s="78" t="s">
        <v>264</v>
      </c>
      <c r="G25" s="79" t="s">
        <v>11</v>
      </c>
      <c r="H25" s="72" t="s">
        <v>142</v>
      </c>
      <c r="I25" s="80">
        <f>0.039*K25^0.596*E25</f>
        <v>12.691291299329979</v>
      </c>
      <c r="J25" s="72" t="s">
        <v>124</v>
      </c>
      <c r="K25" s="222">
        <f>IFERROR('計算条件（既存）【例】'!G7*365/E25,0)</f>
        <v>16425</v>
      </c>
      <c r="L25" s="385" t="s">
        <v>265</v>
      </c>
      <c r="M25" s="1217" t="s">
        <v>266</v>
      </c>
      <c r="N25" s="1218"/>
      <c r="O25" s="1218"/>
      <c r="P25" s="1218"/>
      <c r="Q25" s="1218"/>
      <c r="R25" s="1422"/>
    </row>
    <row r="26" spans="1:18" ht="15.75">
      <c r="B26" s="1420"/>
      <c r="C26" s="384" t="s">
        <v>246</v>
      </c>
      <c r="D26" s="72"/>
      <c r="E26" s="404">
        <f>IF(E24=0,0,E24/E24)</f>
        <v>1</v>
      </c>
      <c r="F26" s="384" t="s">
        <v>267</v>
      </c>
      <c r="G26" s="79" t="s">
        <v>11</v>
      </c>
      <c r="H26" s="72" t="s">
        <v>141</v>
      </c>
      <c r="I26" s="80">
        <f>0.0024*K26^0.533*E26</f>
        <v>0.42371672640813374</v>
      </c>
      <c r="J26" s="72" t="s">
        <v>124</v>
      </c>
      <c r="K26" s="222">
        <f>IFERROR('計算条件（既存）【例】'!G7*365/E26,0)</f>
        <v>16425</v>
      </c>
      <c r="L26" s="385" t="s">
        <v>265</v>
      </c>
      <c r="M26" s="1217" t="s">
        <v>266</v>
      </c>
      <c r="N26" s="1218"/>
      <c r="O26" s="1218"/>
      <c r="P26" s="1218"/>
      <c r="Q26" s="1218"/>
      <c r="R26" s="1422"/>
    </row>
    <row r="27" spans="1:18" ht="15.75">
      <c r="B27" s="1420"/>
      <c r="C27" s="402" t="s">
        <v>18</v>
      </c>
      <c r="D27" s="403" t="s">
        <v>249</v>
      </c>
      <c r="E27" s="404">
        <f>+③基本情報入力【例】!E55</f>
        <v>0</v>
      </c>
      <c r="F27" s="384" t="s">
        <v>17</v>
      </c>
      <c r="G27" s="79" t="s">
        <v>11</v>
      </c>
      <c r="H27" s="72" t="s">
        <v>313</v>
      </c>
      <c r="I27" s="85">
        <f>0.171*(K27)^0.39*E27</f>
        <v>0</v>
      </c>
      <c r="J27" s="72" t="s">
        <v>124</v>
      </c>
      <c r="K27" s="146">
        <f>IFERROR('計算条件（既存）【例】'!G7*365/E27,0)</f>
        <v>0</v>
      </c>
      <c r="L27" s="385" t="s">
        <v>265</v>
      </c>
      <c r="M27" s="1217" t="s">
        <v>266</v>
      </c>
      <c r="N27" s="1218"/>
      <c r="O27" s="1218"/>
      <c r="P27" s="1218"/>
      <c r="Q27" s="1218"/>
      <c r="R27" s="1422"/>
    </row>
    <row r="28" spans="1:18" ht="15.75">
      <c r="B28" s="1420"/>
      <c r="C28" s="402" t="s">
        <v>9</v>
      </c>
      <c r="D28" s="403"/>
      <c r="E28" s="404">
        <f>+③基本情報入力【例】!E55</f>
        <v>0</v>
      </c>
      <c r="F28" s="384" t="s">
        <v>13</v>
      </c>
      <c r="G28" s="79" t="s">
        <v>11</v>
      </c>
      <c r="H28" s="402" t="s">
        <v>312</v>
      </c>
      <c r="I28" s="85">
        <f>0.283*K28^0.302*E28</f>
        <v>0</v>
      </c>
      <c r="J28" s="72" t="s">
        <v>124</v>
      </c>
      <c r="K28" s="146">
        <f>IFERROR(ROUNDUP('物質収支（既存）【例】'!I84/2,-1)/E28,0)</f>
        <v>0</v>
      </c>
      <c r="L28" s="385" t="s">
        <v>1</v>
      </c>
      <c r="M28" s="1217" t="s">
        <v>251</v>
      </c>
      <c r="N28" s="1218"/>
      <c r="O28" s="1218"/>
      <c r="P28" s="1218"/>
      <c r="Q28" s="1218"/>
      <c r="R28" s="1422"/>
    </row>
    <row r="29" spans="1:18" ht="15.75">
      <c r="B29" s="1420"/>
      <c r="C29" s="402" t="s">
        <v>16</v>
      </c>
      <c r="D29" s="403"/>
      <c r="E29" s="404">
        <f>+③基本情報入力【例】!E55</f>
        <v>0</v>
      </c>
      <c r="F29" s="384" t="s">
        <v>13</v>
      </c>
      <c r="G29" s="79" t="s">
        <v>11</v>
      </c>
      <c r="H29" s="402" t="s">
        <v>311</v>
      </c>
      <c r="I29" s="85">
        <f>0.0796*K29^0.761*E29</f>
        <v>0</v>
      </c>
      <c r="J29" s="72" t="s">
        <v>124</v>
      </c>
      <c r="K29" s="146">
        <f>IFERROR(ROUNDUP('物質収支（既存）【例】'!I84/24,0)/E29,0)</f>
        <v>0</v>
      </c>
      <c r="L29" s="385" t="s">
        <v>298</v>
      </c>
      <c r="M29" s="1217" t="s">
        <v>252</v>
      </c>
      <c r="N29" s="1218"/>
      <c r="O29" s="1218"/>
      <c r="P29" s="1218"/>
      <c r="Q29" s="1218"/>
      <c r="R29" s="1422"/>
    </row>
    <row r="30" spans="1:18" ht="15.75">
      <c r="B30" s="1420"/>
      <c r="C30" s="402" t="s">
        <v>10</v>
      </c>
      <c r="D30" s="403"/>
      <c r="E30" s="404">
        <f>+③基本情報入力【例】!E56</f>
        <v>0</v>
      </c>
      <c r="F30" s="384" t="s">
        <v>17</v>
      </c>
      <c r="G30" s="79" t="s">
        <v>11</v>
      </c>
      <c r="H30" s="72" t="s">
        <v>140</v>
      </c>
      <c r="I30" s="85">
        <f>0.362*K30^0.585*E30</f>
        <v>0</v>
      </c>
      <c r="J30" s="72" t="s">
        <v>124</v>
      </c>
      <c r="K30" s="222">
        <f>IFERROR('物質収支（既存）【例】'!I41*365/E30,0)</f>
        <v>0</v>
      </c>
      <c r="L30" s="385" t="s">
        <v>562</v>
      </c>
      <c r="M30" s="1217" t="s">
        <v>268</v>
      </c>
      <c r="N30" s="1218"/>
      <c r="O30" s="1218"/>
      <c r="P30" s="1218"/>
      <c r="Q30" s="1218"/>
      <c r="R30" s="1422"/>
    </row>
    <row r="31" spans="1:18" ht="15.75">
      <c r="B31" s="1420"/>
      <c r="C31" s="384" t="s">
        <v>414</v>
      </c>
      <c r="D31" s="385"/>
      <c r="E31" s="404">
        <v>0</v>
      </c>
      <c r="F31" s="78" t="s">
        <v>264</v>
      </c>
      <c r="G31" s="79" t="s">
        <v>11</v>
      </c>
      <c r="H31" s="72" t="s">
        <v>420</v>
      </c>
      <c r="I31" s="80">
        <f>0.0579*K31*E31</f>
        <v>0</v>
      </c>
      <c r="J31" s="72" t="s">
        <v>124</v>
      </c>
      <c r="K31" s="222">
        <f>'物質収支（既存）【例】'!X87/24</f>
        <v>89.90625</v>
      </c>
      <c r="L31" s="385" t="s">
        <v>243</v>
      </c>
      <c r="M31" s="1217" t="s">
        <v>417</v>
      </c>
      <c r="N31" s="1218"/>
      <c r="O31" s="1218"/>
      <c r="P31" s="1218"/>
      <c r="Q31" s="1218"/>
      <c r="R31" s="1422"/>
    </row>
    <row r="32" spans="1:18" ht="15.75">
      <c r="B32" s="1420"/>
      <c r="C32" s="386" t="s">
        <v>310</v>
      </c>
      <c r="D32" s="387"/>
      <c r="E32" s="141">
        <f>③基本情報入力【例】!E57</f>
        <v>0</v>
      </c>
      <c r="F32" s="386" t="s">
        <v>264</v>
      </c>
      <c r="G32" s="79" t="s">
        <v>11</v>
      </c>
      <c r="H32" s="97" t="s">
        <v>351</v>
      </c>
      <c r="I32" s="140">
        <f>0.287*K32^0.673*E32</f>
        <v>0</v>
      </c>
      <c r="J32" s="72" t="s">
        <v>124</v>
      </c>
      <c r="K32" s="223">
        <f>IFERROR('物質収支（既存）【例】'!I41*365/E32,0)</f>
        <v>0</v>
      </c>
      <c r="L32" s="385" t="s">
        <v>562</v>
      </c>
      <c r="M32" s="1217" t="s">
        <v>309</v>
      </c>
      <c r="N32" s="1218"/>
      <c r="O32" s="1218"/>
      <c r="P32" s="1218"/>
      <c r="Q32" s="1218"/>
      <c r="R32" s="1422"/>
    </row>
    <row r="33" spans="1:18" ht="14.25" thickBot="1">
      <c r="B33" s="1420"/>
      <c r="C33" s="104" t="s">
        <v>139</v>
      </c>
      <c r="D33" s="88" t="s">
        <v>128</v>
      </c>
      <c r="E33" s="88"/>
      <c r="F33" s="104" t="s">
        <v>139</v>
      </c>
      <c r="G33" s="88" t="s">
        <v>271</v>
      </c>
      <c r="H33" s="88"/>
      <c r="I33" s="89">
        <f>+ROUND(③基本情報入力【例】!H62*K33/10^6,0)</f>
        <v>0</v>
      </c>
      <c r="J33" s="88" t="s">
        <v>124</v>
      </c>
      <c r="K33" s="224">
        <f>'物質収支（既存）【例】'!X48</f>
        <v>0</v>
      </c>
      <c r="L33" s="389" t="s">
        <v>145</v>
      </c>
      <c r="M33" s="1430" t="s">
        <v>272</v>
      </c>
      <c r="N33" s="1430"/>
      <c r="O33" s="1430"/>
      <c r="P33" s="1430"/>
      <c r="Q33" s="1430"/>
      <c r="R33" s="1430"/>
    </row>
    <row r="34" spans="1:18" ht="14.25" thickTop="1">
      <c r="B34" s="1421"/>
      <c r="C34" s="1210" t="s">
        <v>259</v>
      </c>
      <c r="D34" s="1211"/>
      <c r="E34" s="1211"/>
      <c r="F34" s="1211"/>
      <c r="G34" s="1211"/>
      <c r="H34" s="1212"/>
      <c r="I34" s="80">
        <f>SUM(I24:I33)</f>
        <v>13.442604118561063</v>
      </c>
      <c r="J34" s="95" t="s">
        <v>124</v>
      </c>
      <c r="K34" s="95"/>
      <c r="L34" s="101"/>
      <c r="M34" s="1431"/>
      <c r="N34" s="1431"/>
      <c r="O34" s="1431"/>
      <c r="P34" s="1431"/>
      <c r="Q34" s="1431"/>
      <c r="R34" s="1431"/>
    </row>
    <row r="35" spans="1:18" s="105" customFormat="1">
      <c r="A35" s="157"/>
      <c r="B35" s="139"/>
      <c r="C35" s="417"/>
      <c r="D35" s="417"/>
      <c r="E35" s="417"/>
      <c r="F35" s="417"/>
      <c r="G35" s="417"/>
      <c r="H35" s="417"/>
      <c r="I35" s="106"/>
      <c r="J35" s="107"/>
      <c r="K35" s="108"/>
      <c r="L35" s="108"/>
      <c r="M35" s="417"/>
      <c r="N35" s="417"/>
      <c r="O35" s="417"/>
      <c r="P35" s="417"/>
      <c r="Q35" s="417"/>
      <c r="R35" s="417"/>
    </row>
    <row r="36" spans="1:18">
      <c r="B36" s="148" t="str">
        <f>+③基本情報入力【例】!J51</f>
        <v>②</v>
      </c>
      <c r="C36" s="1232" t="str">
        <f>+③基本情報入力【例】!J52</f>
        <v>B町中央浄化センター</v>
      </c>
      <c r="D36" s="1232"/>
    </row>
    <row r="37" spans="1:18">
      <c r="B37" s="400" t="s">
        <v>230</v>
      </c>
      <c r="C37" s="383" t="s">
        <v>231</v>
      </c>
      <c r="D37" s="383" t="s">
        <v>232</v>
      </c>
      <c r="E37" s="383" t="s">
        <v>233</v>
      </c>
      <c r="F37" s="383" t="s">
        <v>23</v>
      </c>
      <c r="G37" s="1415" t="s">
        <v>235</v>
      </c>
      <c r="H37" s="1415"/>
      <c r="I37" s="1415" t="s">
        <v>236</v>
      </c>
      <c r="J37" s="1415"/>
      <c r="K37" s="1415" t="s">
        <v>237</v>
      </c>
      <c r="L37" s="1415"/>
      <c r="M37" s="1416" t="s">
        <v>291</v>
      </c>
      <c r="N37" s="1416"/>
      <c r="O37" s="77" t="s">
        <v>238</v>
      </c>
      <c r="P37" s="77" t="s">
        <v>239</v>
      </c>
      <c r="Q37" s="77" t="s">
        <v>240</v>
      </c>
      <c r="R37" s="383" t="s">
        <v>97</v>
      </c>
    </row>
    <row r="38" spans="1:18" ht="15.75">
      <c r="B38" s="1417"/>
      <c r="C38" s="1419" t="s">
        <v>241</v>
      </c>
      <c r="D38" s="1221" t="s">
        <v>242</v>
      </c>
      <c r="E38" s="404">
        <f>+③基本情報入力【例】!J53</f>
        <v>1</v>
      </c>
      <c r="F38" s="78" t="s">
        <v>3</v>
      </c>
      <c r="G38" s="79" t="s">
        <v>11</v>
      </c>
      <c r="H38" s="79" t="s">
        <v>294</v>
      </c>
      <c r="I38" s="80">
        <f>K38*(1-O38)*(P38+P38/((P38+1)^Q38-1))</f>
        <v>0.45138593273439376</v>
      </c>
      <c r="J38" s="72" t="s">
        <v>124</v>
      </c>
      <c r="K38" s="70">
        <f>1.31*M38^0.611*E38</f>
        <v>7.9683489854878298</v>
      </c>
      <c r="L38" s="79" t="s">
        <v>120</v>
      </c>
      <c r="M38" s="80">
        <f>IFERROR('計算条件（既存）【例】'!H13/E38,0)</f>
        <v>19.2</v>
      </c>
      <c r="N38" s="1221" t="s">
        <v>243</v>
      </c>
      <c r="O38" s="81">
        <f>+③基本情報入力【例】!$Y$61</f>
        <v>0.1</v>
      </c>
      <c r="P38" s="82">
        <f>+③基本情報入力【例】!$AB$61</f>
        <v>2.3E-2</v>
      </c>
      <c r="Q38" s="83">
        <f>+③基本情報入力【例】!$AE$61</f>
        <v>20</v>
      </c>
      <c r="R38" s="72" t="s">
        <v>244</v>
      </c>
    </row>
    <row r="39" spans="1:18" ht="15.75">
      <c r="B39" s="1417"/>
      <c r="C39" s="1419"/>
      <c r="D39" s="1221"/>
      <c r="E39" s="407">
        <v>0</v>
      </c>
      <c r="F39" s="78" t="s">
        <v>8</v>
      </c>
      <c r="G39" s="79" t="s">
        <v>11</v>
      </c>
      <c r="H39" s="79" t="s">
        <v>293</v>
      </c>
      <c r="I39" s="80">
        <f>K39*(1-O39)*(P39+P39/((P39+1)^Q39-1))</f>
        <v>0</v>
      </c>
      <c r="J39" s="72" t="s">
        <v>124</v>
      </c>
      <c r="K39" s="70">
        <f>1.24*M39^0.598*E39</f>
        <v>0</v>
      </c>
      <c r="L39" s="79" t="s">
        <v>120</v>
      </c>
      <c r="M39" s="80">
        <f>+M38</f>
        <v>19.2</v>
      </c>
      <c r="N39" s="1221"/>
      <c r="O39" s="81">
        <f>+③基本情報入力【例】!$Y$63</f>
        <v>0.1</v>
      </c>
      <c r="P39" s="84">
        <f>+③基本情報入力【例】!$AB$63</f>
        <v>2.3E-2</v>
      </c>
      <c r="Q39" s="83">
        <f>+③基本情報入力【例】!$AE$63</f>
        <v>40</v>
      </c>
      <c r="R39" s="72" t="s">
        <v>244</v>
      </c>
    </row>
    <row r="40" spans="1:18" ht="15.75">
      <c r="B40" s="1417"/>
      <c r="C40" s="1419" t="s">
        <v>22</v>
      </c>
      <c r="D40" s="1221"/>
      <c r="E40" s="404">
        <f>+③基本情報入力【例】!J54</f>
        <v>1</v>
      </c>
      <c r="F40" s="78" t="s">
        <v>3</v>
      </c>
      <c r="G40" s="79" t="s">
        <v>11</v>
      </c>
      <c r="H40" s="79" t="s">
        <v>245</v>
      </c>
      <c r="I40" s="80">
        <f>K40*(1-O40)*(P40+P40/((P40+1)^Q40-1))</f>
        <v>4.7751968201111543</v>
      </c>
      <c r="J40" s="72" t="s">
        <v>124</v>
      </c>
      <c r="K40" s="70">
        <f>22.7*M40^0.444*E40</f>
        <v>84.296899787143374</v>
      </c>
      <c r="L40" s="79" t="s">
        <v>120</v>
      </c>
      <c r="M40" s="80">
        <f>IFERROR('計算条件（既存）【例】'!H13/E40,0)</f>
        <v>19.2</v>
      </c>
      <c r="N40" s="1221" t="s">
        <v>243</v>
      </c>
      <c r="O40" s="81">
        <f>+③基本情報入力【例】!$Y$61</f>
        <v>0.1</v>
      </c>
      <c r="P40" s="82">
        <f>+③基本情報入力【例】!$AB$61</f>
        <v>2.3E-2</v>
      </c>
      <c r="Q40" s="83">
        <f>+③基本情報入力【例】!$AE$61</f>
        <v>20</v>
      </c>
      <c r="R40" s="72" t="s">
        <v>244</v>
      </c>
    </row>
    <row r="41" spans="1:18" ht="15.75">
      <c r="B41" s="1417"/>
      <c r="C41" s="1419"/>
      <c r="D41" s="1221"/>
      <c r="E41" s="407">
        <v>0</v>
      </c>
      <c r="F41" s="78" t="s">
        <v>8</v>
      </c>
      <c r="G41" s="79" t="s">
        <v>11</v>
      </c>
      <c r="H41" s="79" t="s">
        <v>295</v>
      </c>
      <c r="I41" s="80">
        <f>K41*(1-O41)*(P41+P41/((P41+1)^Q41-1))</f>
        <v>0</v>
      </c>
      <c r="J41" s="72" t="s">
        <v>124</v>
      </c>
      <c r="K41" s="70">
        <f>43.4*M41^0.373*E41</f>
        <v>0</v>
      </c>
      <c r="L41" s="79" t="s">
        <v>120</v>
      </c>
      <c r="M41" s="80">
        <f>+M40</f>
        <v>19.2</v>
      </c>
      <c r="N41" s="1221"/>
      <c r="O41" s="81">
        <f>+③基本情報入力【例】!$Y$63</f>
        <v>0.1</v>
      </c>
      <c r="P41" s="84">
        <f>+③基本情報入力【例】!$AB$63</f>
        <v>2.3E-2</v>
      </c>
      <c r="Q41" s="83">
        <f>+③基本情報入力【例】!$AE$63</f>
        <v>40</v>
      </c>
      <c r="R41" s="72" t="s">
        <v>244</v>
      </c>
    </row>
    <row r="42" spans="1:18" ht="15.75">
      <c r="B42" s="1417"/>
      <c r="C42" s="384" t="s">
        <v>246</v>
      </c>
      <c r="D42" s="72"/>
      <c r="E42" s="404">
        <f>+③基本情報入力【例】!J53</f>
        <v>1</v>
      </c>
      <c r="F42" s="384" t="s">
        <v>4</v>
      </c>
      <c r="G42" s="79" t="s">
        <v>11</v>
      </c>
      <c r="H42" s="72" t="s">
        <v>292</v>
      </c>
      <c r="I42" s="80">
        <f>K42*(1-O42)*(P42+P42/((P42+1)^Q42-1))</f>
        <v>5.0226645370077785</v>
      </c>
      <c r="J42" s="72" t="s">
        <v>124</v>
      </c>
      <c r="K42" s="69">
        <f>17.8*M42^0.464*E42</f>
        <v>70.124822087969818</v>
      </c>
      <c r="L42" s="72" t="s">
        <v>120</v>
      </c>
      <c r="M42" s="80">
        <f>IFERROR('計算条件（既存）【例】'!H13/E42,0)</f>
        <v>19.2</v>
      </c>
      <c r="N42" s="385" t="s">
        <v>243</v>
      </c>
      <c r="O42" s="81">
        <f>+③基本情報入力【例】!$Y$62</f>
        <v>0.1</v>
      </c>
      <c r="P42" s="84">
        <f>+③基本情報入力【例】!$AB$62</f>
        <v>2.3E-2</v>
      </c>
      <c r="Q42" s="83">
        <f>+③基本情報入力【例】!$AE$62</f>
        <v>15</v>
      </c>
      <c r="R42" s="72" t="s">
        <v>247</v>
      </c>
    </row>
    <row r="43" spans="1:18" ht="15.75">
      <c r="B43" s="1417"/>
      <c r="C43" s="1407" t="s">
        <v>18</v>
      </c>
      <c r="D43" s="1408" t="s">
        <v>249</v>
      </c>
      <c r="E43" s="404">
        <f>+③基本情報入力【例】!J55</f>
        <v>0</v>
      </c>
      <c r="F43" s="384" t="s">
        <v>3</v>
      </c>
      <c r="G43" s="79" t="s">
        <v>11</v>
      </c>
      <c r="H43" s="72" t="s">
        <v>134</v>
      </c>
      <c r="I43" s="80">
        <f t="shared" ref="I43:I52" si="1">K43*(1-O43)*(P43+P43/((P43+1)^Q43-1))</f>
        <v>0</v>
      </c>
      <c r="J43" s="72" t="s">
        <v>124</v>
      </c>
      <c r="K43" s="69">
        <f>124*(M43/500)^0.6*E43</f>
        <v>0</v>
      </c>
      <c r="L43" s="72" t="s">
        <v>120</v>
      </c>
      <c r="M43" s="146">
        <f>IFERROR(ROUNDUP('物質収支（既存）【例】'!J10*25,-1)/E43,0)</f>
        <v>0</v>
      </c>
      <c r="N43" s="385" t="s">
        <v>1</v>
      </c>
      <c r="O43" s="81">
        <f>+③基本情報入力【例】!$Y$61</f>
        <v>0.1</v>
      </c>
      <c r="P43" s="82">
        <f>+③基本情報入力【例】!$AB$61</f>
        <v>2.3E-2</v>
      </c>
      <c r="Q43" s="83">
        <f>+③基本情報入力【例】!$AE$61</f>
        <v>20</v>
      </c>
      <c r="R43" s="72" t="s">
        <v>250</v>
      </c>
    </row>
    <row r="44" spans="1:18" ht="15.75">
      <c r="B44" s="1417"/>
      <c r="C44" s="1407"/>
      <c r="D44" s="1408"/>
      <c r="E44" s="407">
        <v>0</v>
      </c>
      <c r="F44" s="384" t="s">
        <v>8</v>
      </c>
      <c r="G44" s="79" t="s">
        <v>11</v>
      </c>
      <c r="H44" s="72" t="s">
        <v>135</v>
      </c>
      <c r="I44" s="80">
        <f t="shared" si="1"/>
        <v>0</v>
      </c>
      <c r="J44" s="72" t="s">
        <v>124</v>
      </c>
      <c r="K44" s="69">
        <f>44.1*(M44/500)^0.6*E44</f>
        <v>0</v>
      </c>
      <c r="L44" s="72" t="s">
        <v>120</v>
      </c>
      <c r="M44" s="146">
        <f>+M43</f>
        <v>0</v>
      </c>
      <c r="N44" s="385" t="s">
        <v>1</v>
      </c>
      <c r="O44" s="81">
        <f>+③基本情報入力【例】!$Y$63</f>
        <v>0.1</v>
      </c>
      <c r="P44" s="84">
        <f>+③基本情報入力【例】!$AB$63</f>
        <v>2.3E-2</v>
      </c>
      <c r="Q44" s="83">
        <f>+③基本情報入力【例】!$AE$63</f>
        <v>40</v>
      </c>
      <c r="R44" s="86"/>
    </row>
    <row r="45" spans="1:18" ht="15.75">
      <c r="B45" s="1417"/>
      <c r="C45" s="384" t="s">
        <v>9</v>
      </c>
      <c r="D45" s="72"/>
      <c r="E45" s="404">
        <f>+③基本情報入力【例】!J55</f>
        <v>0</v>
      </c>
      <c r="F45" s="384" t="s">
        <v>3</v>
      </c>
      <c r="G45" s="79" t="s">
        <v>11</v>
      </c>
      <c r="H45" s="72" t="s">
        <v>300</v>
      </c>
      <c r="I45" s="80">
        <f t="shared" si="1"/>
        <v>0</v>
      </c>
      <c r="J45" s="72" t="s">
        <v>124</v>
      </c>
      <c r="K45" s="69">
        <f>10.4*M45^0.437*E45</f>
        <v>0</v>
      </c>
      <c r="L45" s="72" t="s">
        <v>120</v>
      </c>
      <c r="M45" s="146">
        <f>IFERROR(ROUNDUP('物質収支（既存）【例】'!J84/2,-1)/E45,0)</f>
        <v>0</v>
      </c>
      <c r="N45" s="385" t="s">
        <v>1</v>
      </c>
      <c r="O45" s="81">
        <f>+③基本情報入力【例】!$Y$61</f>
        <v>0.1</v>
      </c>
      <c r="P45" s="82">
        <f>+③基本情報入力【例】!$AB$61</f>
        <v>2.3E-2</v>
      </c>
      <c r="Q45" s="83">
        <f>+③基本情報入力【例】!$AE$61</f>
        <v>20</v>
      </c>
      <c r="R45" s="74" t="s">
        <v>251</v>
      </c>
    </row>
    <row r="46" spans="1:18" ht="15.75">
      <c r="B46" s="1417"/>
      <c r="C46" s="384" t="s">
        <v>16</v>
      </c>
      <c r="D46" s="72"/>
      <c r="E46" s="404">
        <f>+③基本情報入力【例】!J55</f>
        <v>0</v>
      </c>
      <c r="F46" s="384" t="s">
        <v>3</v>
      </c>
      <c r="G46" s="79" t="s">
        <v>11</v>
      </c>
      <c r="H46" s="72" t="s">
        <v>299</v>
      </c>
      <c r="I46" s="80">
        <f t="shared" si="1"/>
        <v>0</v>
      </c>
      <c r="J46" s="72" t="s">
        <v>124</v>
      </c>
      <c r="K46" s="69">
        <f>0.878*M46^0.761*E46</f>
        <v>0</v>
      </c>
      <c r="L46" s="72" t="s">
        <v>120</v>
      </c>
      <c r="M46" s="146">
        <f>IFERROR(ROUNDUP('物質収支（既存）【例】'!J84/24,0)/E46,0)</f>
        <v>0</v>
      </c>
      <c r="N46" s="385" t="s">
        <v>298</v>
      </c>
      <c r="O46" s="81">
        <f>+③基本情報入力【例】!$Y$61</f>
        <v>0.1</v>
      </c>
      <c r="P46" s="82">
        <f>+③基本情報入力【例】!$AB$61</f>
        <v>2.3E-2</v>
      </c>
      <c r="Q46" s="83">
        <f>+③基本情報入力【例】!$AE$61</f>
        <v>20</v>
      </c>
      <c r="R46" s="74" t="s">
        <v>252</v>
      </c>
    </row>
    <row r="47" spans="1:18" ht="15.75">
      <c r="A47" s="58"/>
      <c r="B47" s="1417"/>
      <c r="C47" s="1409" t="s">
        <v>10</v>
      </c>
      <c r="D47" s="1412"/>
      <c r="E47" s="404">
        <f>+③基本情報入力【例】!J56</f>
        <v>0</v>
      </c>
      <c r="F47" s="384" t="s">
        <v>3</v>
      </c>
      <c r="G47" s="79" t="s">
        <v>11</v>
      </c>
      <c r="H47" s="72" t="s">
        <v>297</v>
      </c>
      <c r="I47" s="80">
        <f t="shared" si="1"/>
        <v>0</v>
      </c>
      <c r="J47" s="72" t="s">
        <v>124</v>
      </c>
      <c r="K47" s="69">
        <f>31.9*M47^0.971*E47</f>
        <v>0</v>
      </c>
      <c r="L47" s="72" t="s">
        <v>120</v>
      </c>
      <c r="M47" s="222">
        <f>IFERROR('物質収支（既存）【例】'!J41/E47,0)</f>
        <v>0</v>
      </c>
      <c r="N47" s="385" t="s">
        <v>0</v>
      </c>
      <c r="O47" s="81">
        <f>+③基本情報入力【例】!$Y$61</f>
        <v>0.1</v>
      </c>
      <c r="P47" s="82">
        <f>+③基本情報入力【例】!$AB$61</f>
        <v>2.3E-2</v>
      </c>
      <c r="Q47" s="83">
        <f>+③基本情報入力【例】!$AE$61</f>
        <v>20</v>
      </c>
      <c r="R47" s="72" t="s">
        <v>253</v>
      </c>
    </row>
    <row r="48" spans="1:18" ht="15.75" customHeight="1">
      <c r="A48" s="58"/>
      <c r="B48" s="1417"/>
      <c r="C48" s="1410"/>
      <c r="D48" s="1413"/>
      <c r="E48" s="404">
        <f>+③基本情報入力【例】!J56</f>
        <v>0</v>
      </c>
      <c r="F48" s="384" t="s">
        <v>4</v>
      </c>
      <c r="G48" s="79" t="s">
        <v>11</v>
      </c>
      <c r="H48" s="72" t="s">
        <v>136</v>
      </c>
      <c r="I48" s="80">
        <f t="shared" si="1"/>
        <v>0</v>
      </c>
      <c r="J48" s="72" t="s">
        <v>124</v>
      </c>
      <c r="K48" s="69">
        <f>6.59*M48^0.809*E48</f>
        <v>0</v>
      </c>
      <c r="L48" s="72" t="s">
        <v>120</v>
      </c>
      <c r="M48" s="222">
        <f>+M47</f>
        <v>0</v>
      </c>
      <c r="N48" s="385" t="s">
        <v>0</v>
      </c>
      <c r="O48" s="81">
        <f>+③基本情報入力【例】!$Y$62</f>
        <v>0.1</v>
      </c>
      <c r="P48" s="84">
        <f>+③基本情報入力【例】!$AB$62</f>
        <v>2.3E-2</v>
      </c>
      <c r="Q48" s="83">
        <f>+③基本情報入力【例】!$AE$62</f>
        <v>15</v>
      </c>
      <c r="R48" s="72"/>
    </row>
    <row r="49" spans="1:18" ht="15.75">
      <c r="A49" s="58"/>
      <c r="B49" s="1417"/>
      <c r="C49" s="1411"/>
      <c r="D49" s="1414"/>
      <c r="E49" s="407">
        <v>0</v>
      </c>
      <c r="F49" s="384" t="s">
        <v>5</v>
      </c>
      <c r="G49" s="79" t="s">
        <v>11</v>
      </c>
      <c r="H49" s="72" t="s">
        <v>137</v>
      </c>
      <c r="I49" s="80">
        <f t="shared" si="1"/>
        <v>0</v>
      </c>
      <c r="J49" s="72" t="s">
        <v>124</v>
      </c>
      <c r="K49" s="69">
        <f>12.3*M49^0.941*E49</f>
        <v>0</v>
      </c>
      <c r="L49" s="72" t="s">
        <v>120</v>
      </c>
      <c r="M49" s="222">
        <f>+M47</f>
        <v>0</v>
      </c>
      <c r="N49" s="385" t="s">
        <v>0</v>
      </c>
      <c r="O49" s="81">
        <f>+③基本情報入力【例】!$Y$63</f>
        <v>0.1</v>
      </c>
      <c r="P49" s="84">
        <f>+③基本情報入力【例】!$AB$63</f>
        <v>2.3E-2</v>
      </c>
      <c r="Q49" s="83">
        <f>+③基本情報入力【例】!$AE$63</f>
        <v>40</v>
      </c>
      <c r="R49" s="72"/>
    </row>
    <row r="50" spans="1:18" ht="15.75">
      <c r="A50" s="58"/>
      <c r="B50" s="1417"/>
      <c r="C50" s="1423" t="s">
        <v>310</v>
      </c>
      <c r="D50" s="1347"/>
      <c r="E50" s="404">
        <f>+③基本情報入力【例】!J57</f>
        <v>0</v>
      </c>
      <c r="F50" s="384" t="s">
        <v>3</v>
      </c>
      <c r="G50" s="144" t="s">
        <v>11</v>
      </c>
      <c r="H50" s="72" t="s">
        <v>317</v>
      </c>
      <c r="I50" s="94">
        <f t="shared" si="1"/>
        <v>0</v>
      </c>
      <c r="J50" s="97" t="s">
        <v>124</v>
      </c>
      <c r="K50" s="69">
        <f>188.8*M50^0.597*E50</f>
        <v>0</v>
      </c>
      <c r="L50" s="97" t="s">
        <v>120</v>
      </c>
      <c r="M50" s="222">
        <f>IFERROR('物質収支（既存）【例】'!J41/E50,0)</f>
        <v>0</v>
      </c>
      <c r="N50" s="387" t="s">
        <v>0</v>
      </c>
      <c r="O50" s="81">
        <f>+③基本情報入力【例】!$Y$61</f>
        <v>0.1</v>
      </c>
      <c r="P50" s="82">
        <f>+③基本情報入力【例】!$AB$61</f>
        <v>2.3E-2</v>
      </c>
      <c r="Q50" s="83">
        <f>+③基本情報入力【例】!$AE$61</f>
        <v>20</v>
      </c>
      <c r="R50" s="72" t="s">
        <v>316</v>
      </c>
    </row>
    <row r="51" spans="1:18" ht="15.75">
      <c r="A51" s="58"/>
      <c r="B51" s="1417"/>
      <c r="C51" s="1424"/>
      <c r="D51" s="1348"/>
      <c r="E51" s="404">
        <f>+③基本情報入力【例】!J57</f>
        <v>0</v>
      </c>
      <c r="F51" s="384" t="s">
        <v>4</v>
      </c>
      <c r="G51" s="144" t="s">
        <v>11</v>
      </c>
      <c r="H51" s="72" t="s">
        <v>315</v>
      </c>
      <c r="I51" s="94">
        <f t="shared" si="1"/>
        <v>0</v>
      </c>
      <c r="J51" s="97" t="s">
        <v>124</v>
      </c>
      <c r="K51" s="69">
        <f>72.6*M51^0.539*E51</f>
        <v>0</v>
      </c>
      <c r="L51" s="97" t="s">
        <v>120</v>
      </c>
      <c r="M51" s="222">
        <f>+M50</f>
        <v>0</v>
      </c>
      <c r="N51" s="387" t="s">
        <v>0</v>
      </c>
      <c r="O51" s="81">
        <f>+③基本情報入力【例】!$Y$62</f>
        <v>0.1</v>
      </c>
      <c r="P51" s="84">
        <f>+③基本情報入力【例】!$AB$62</f>
        <v>2.3E-2</v>
      </c>
      <c r="Q51" s="83">
        <f>+③基本情報入力【例】!$AE$62</f>
        <v>15</v>
      </c>
      <c r="R51" s="72"/>
    </row>
    <row r="52" spans="1:18" ht="16.5" thickBot="1">
      <c r="A52" s="58"/>
      <c r="B52" s="1417"/>
      <c r="C52" s="1425"/>
      <c r="D52" s="1426"/>
      <c r="E52" s="116">
        <v>0</v>
      </c>
      <c r="F52" s="390" t="s">
        <v>8</v>
      </c>
      <c r="G52" s="87" t="s">
        <v>11</v>
      </c>
      <c r="H52" s="88" t="s">
        <v>314</v>
      </c>
      <c r="I52" s="89">
        <f t="shared" si="1"/>
        <v>0</v>
      </c>
      <c r="J52" s="88" t="s">
        <v>124</v>
      </c>
      <c r="K52" s="90">
        <f>136.1*M52^0.38*E52</f>
        <v>0</v>
      </c>
      <c r="L52" s="88" t="s">
        <v>120</v>
      </c>
      <c r="M52" s="224">
        <f>+M50</f>
        <v>0</v>
      </c>
      <c r="N52" s="389" t="s">
        <v>0</v>
      </c>
      <c r="O52" s="91">
        <f>+③基本情報入力【例】!$Y$63</f>
        <v>0.1</v>
      </c>
      <c r="P52" s="92">
        <f>+③基本情報入力【例】!$AB$63</f>
        <v>2.3E-2</v>
      </c>
      <c r="Q52" s="93">
        <f>+③基本情報入力【例】!$AE$63</f>
        <v>40</v>
      </c>
      <c r="R52" s="88"/>
    </row>
    <row r="53" spans="1:18" ht="14.25" thickTop="1">
      <c r="B53" s="1418"/>
      <c r="C53" s="1434" t="s">
        <v>259</v>
      </c>
      <c r="D53" s="1434"/>
      <c r="E53" s="1434"/>
      <c r="F53" s="1434"/>
      <c r="G53" s="1434"/>
      <c r="H53" s="1434"/>
      <c r="I53" s="109">
        <f>SUM(I38:I52)</f>
        <v>10.249247289853326</v>
      </c>
      <c r="J53" s="110" t="s">
        <v>124</v>
      </c>
      <c r="K53" s="111">
        <f>SUM(K38:K52)</f>
        <v>162.39007086060104</v>
      </c>
      <c r="L53" s="112" t="s">
        <v>120</v>
      </c>
      <c r="M53" s="113"/>
      <c r="N53" s="382"/>
      <c r="O53" s="99"/>
      <c r="P53" s="100"/>
      <c r="Q53" s="101"/>
      <c r="R53" s="101"/>
    </row>
    <row r="54" spans="1:18">
      <c r="B54" s="381" t="s">
        <v>260</v>
      </c>
      <c r="C54" s="380" t="s">
        <v>231</v>
      </c>
      <c r="D54" s="380" t="s">
        <v>232</v>
      </c>
      <c r="E54" s="380" t="s">
        <v>233</v>
      </c>
      <c r="F54" s="380" t="s">
        <v>273</v>
      </c>
      <c r="G54" s="1432" t="s">
        <v>235</v>
      </c>
      <c r="H54" s="1432"/>
      <c r="I54" s="1432" t="s">
        <v>237</v>
      </c>
      <c r="J54" s="1432"/>
      <c r="K54" s="1433" t="s">
        <v>291</v>
      </c>
      <c r="L54" s="1433"/>
      <c r="M54" s="1432" t="s">
        <v>97</v>
      </c>
      <c r="N54" s="1432"/>
      <c r="O54" s="1432"/>
      <c r="P54" s="1432"/>
      <c r="Q54" s="1432"/>
      <c r="R54" s="1432"/>
    </row>
    <row r="55" spans="1:18" ht="15.75">
      <c r="B55" s="1435"/>
      <c r="C55" s="384" t="s">
        <v>241</v>
      </c>
      <c r="D55" s="385" t="s">
        <v>242</v>
      </c>
      <c r="E55" s="404">
        <f>+③基本情報入力【例】!J53</f>
        <v>1</v>
      </c>
      <c r="F55" s="78" t="s">
        <v>262</v>
      </c>
      <c r="G55" s="79" t="s">
        <v>11</v>
      </c>
      <c r="H55" s="72" t="s">
        <v>290</v>
      </c>
      <c r="I55" s="80">
        <f>0.03*K55^0.628*E55</f>
        <v>0.17112308608369689</v>
      </c>
      <c r="J55" s="72" t="s">
        <v>124</v>
      </c>
      <c r="K55" s="80">
        <f>IFERROR('計算条件（既存）【例】'!G13/E55,0)</f>
        <v>16</v>
      </c>
      <c r="L55" s="385" t="s">
        <v>243</v>
      </c>
      <c r="M55" s="1217" t="s">
        <v>263</v>
      </c>
      <c r="N55" s="1218"/>
      <c r="O55" s="1218"/>
      <c r="P55" s="1218"/>
      <c r="Q55" s="1218"/>
      <c r="R55" s="1422"/>
    </row>
    <row r="56" spans="1:18" ht="15.75">
      <c r="B56" s="1435"/>
      <c r="C56" s="384" t="s">
        <v>22</v>
      </c>
      <c r="D56" s="385"/>
      <c r="E56" s="404">
        <f>+③基本情報入力【例】!J54</f>
        <v>1</v>
      </c>
      <c r="F56" s="78" t="s">
        <v>308</v>
      </c>
      <c r="G56" s="79" t="s">
        <v>11</v>
      </c>
      <c r="H56" s="72" t="s">
        <v>142</v>
      </c>
      <c r="I56" s="80">
        <f>0.039*K56^0.596*E56</f>
        <v>6.8524624425288216</v>
      </c>
      <c r="J56" s="72" t="s">
        <v>124</v>
      </c>
      <c r="K56" s="80">
        <f>IFERROR('計算条件（既存）【例】'!G13*365/E56,0)</f>
        <v>5840</v>
      </c>
      <c r="L56" s="385" t="s">
        <v>265</v>
      </c>
      <c r="M56" s="1217" t="s">
        <v>266</v>
      </c>
      <c r="N56" s="1218"/>
      <c r="O56" s="1218"/>
      <c r="P56" s="1218"/>
      <c r="Q56" s="1218"/>
      <c r="R56" s="1422"/>
    </row>
    <row r="57" spans="1:18" ht="15.75">
      <c r="B57" s="1435"/>
      <c r="C57" s="384" t="s">
        <v>246</v>
      </c>
      <c r="D57" s="72"/>
      <c r="E57" s="404">
        <f>+③基本情報入力【例】!J53</f>
        <v>1</v>
      </c>
      <c r="F57" s="384" t="s">
        <v>267</v>
      </c>
      <c r="G57" s="79" t="s">
        <v>11</v>
      </c>
      <c r="H57" s="72" t="s">
        <v>141</v>
      </c>
      <c r="I57" s="80">
        <f>0.0024*K57^0.533*E57</f>
        <v>0.24417955010522602</v>
      </c>
      <c r="J57" s="72" t="s">
        <v>124</v>
      </c>
      <c r="K57" s="80">
        <f>IFERROR('計算条件（既存）【例】'!G13*365/E57,0)</f>
        <v>5840</v>
      </c>
      <c r="L57" s="385" t="s">
        <v>265</v>
      </c>
      <c r="M57" s="1217" t="s">
        <v>266</v>
      </c>
      <c r="N57" s="1218"/>
      <c r="O57" s="1218"/>
      <c r="P57" s="1218"/>
      <c r="Q57" s="1218"/>
      <c r="R57" s="1422"/>
    </row>
    <row r="58" spans="1:18" ht="15.75">
      <c r="B58" s="1435"/>
      <c r="C58" s="402" t="s">
        <v>18</v>
      </c>
      <c r="D58" s="403" t="s">
        <v>249</v>
      </c>
      <c r="E58" s="404">
        <f>+③基本情報入力【例】!J55</f>
        <v>0</v>
      </c>
      <c r="F58" s="384" t="s">
        <v>17</v>
      </c>
      <c r="G58" s="79" t="s">
        <v>11</v>
      </c>
      <c r="H58" s="72" t="s">
        <v>313</v>
      </c>
      <c r="I58" s="85">
        <f>0.171*(K58)^0.39*E58</f>
        <v>0</v>
      </c>
      <c r="J58" s="72" t="s">
        <v>124</v>
      </c>
      <c r="K58" s="146">
        <f>IFERROR('計算条件（既存）【例】'!G13*365/E58,0)</f>
        <v>0</v>
      </c>
      <c r="L58" s="385" t="s">
        <v>265</v>
      </c>
      <c r="M58" s="1217" t="s">
        <v>266</v>
      </c>
      <c r="N58" s="1218"/>
      <c r="O58" s="1218"/>
      <c r="P58" s="1218"/>
      <c r="Q58" s="1218"/>
      <c r="R58" s="1422"/>
    </row>
    <row r="59" spans="1:18" ht="15.75">
      <c r="B59" s="1435"/>
      <c r="C59" s="402" t="s">
        <v>9</v>
      </c>
      <c r="D59" s="403"/>
      <c r="E59" s="404">
        <f>+③基本情報入力【例】!J55</f>
        <v>0</v>
      </c>
      <c r="F59" s="384" t="s">
        <v>13</v>
      </c>
      <c r="G59" s="79" t="s">
        <v>11</v>
      </c>
      <c r="H59" s="402" t="s">
        <v>312</v>
      </c>
      <c r="I59" s="85">
        <f>0.283*K59^0.302*E59</f>
        <v>0</v>
      </c>
      <c r="J59" s="72" t="s">
        <v>124</v>
      </c>
      <c r="K59" s="146">
        <f>IFERROR(ROUNDUP('物質収支（既存）【例】'!J84/2,-1)/E59,0)</f>
        <v>0</v>
      </c>
      <c r="L59" s="385" t="s">
        <v>1</v>
      </c>
      <c r="M59" s="1217" t="s">
        <v>251</v>
      </c>
      <c r="N59" s="1218"/>
      <c r="O59" s="1218"/>
      <c r="P59" s="1218"/>
      <c r="Q59" s="1218"/>
      <c r="R59" s="1422"/>
    </row>
    <row r="60" spans="1:18" ht="15.75">
      <c r="B60" s="1435"/>
      <c r="C60" s="402" t="s">
        <v>16</v>
      </c>
      <c r="D60" s="403"/>
      <c r="E60" s="404">
        <f>+③基本情報入力【例】!J55</f>
        <v>0</v>
      </c>
      <c r="F60" s="384" t="s">
        <v>13</v>
      </c>
      <c r="G60" s="79" t="s">
        <v>11</v>
      </c>
      <c r="H60" s="402" t="s">
        <v>311</v>
      </c>
      <c r="I60" s="85">
        <f>0.0796*K60^0.761*E60</f>
        <v>0</v>
      </c>
      <c r="J60" s="72" t="s">
        <v>124</v>
      </c>
      <c r="K60" s="146">
        <f>IFERROR(ROUNDUP('物質収支（既存）【例】'!J84/24,0)/E60,0)</f>
        <v>0</v>
      </c>
      <c r="L60" s="385" t="s">
        <v>298</v>
      </c>
      <c r="M60" s="1217" t="s">
        <v>252</v>
      </c>
      <c r="N60" s="1218"/>
      <c r="O60" s="1218"/>
      <c r="P60" s="1218"/>
      <c r="Q60" s="1218"/>
      <c r="R60" s="1422"/>
    </row>
    <row r="61" spans="1:18" ht="15.75">
      <c r="B61" s="1435"/>
      <c r="C61" s="402" t="s">
        <v>10</v>
      </c>
      <c r="D61" s="403"/>
      <c r="E61" s="404">
        <f>+③基本情報入力【例】!J56</f>
        <v>0</v>
      </c>
      <c r="F61" s="384" t="s">
        <v>17</v>
      </c>
      <c r="G61" s="79" t="s">
        <v>11</v>
      </c>
      <c r="H61" s="72" t="s">
        <v>140</v>
      </c>
      <c r="I61" s="85">
        <f>0.362*K61^0.585*E61</f>
        <v>0</v>
      </c>
      <c r="J61" s="72" t="s">
        <v>124</v>
      </c>
      <c r="K61" s="222">
        <f>IFERROR('物質収支（既存）【例】'!J41*365/E61,0)</f>
        <v>0</v>
      </c>
      <c r="L61" s="385" t="s">
        <v>562</v>
      </c>
      <c r="M61" s="1217" t="s">
        <v>268</v>
      </c>
      <c r="N61" s="1218"/>
      <c r="O61" s="1218"/>
      <c r="P61" s="1218"/>
      <c r="Q61" s="1218"/>
      <c r="R61" s="1422"/>
    </row>
    <row r="62" spans="1:18" ht="16.5" thickBot="1">
      <c r="B62" s="1435"/>
      <c r="C62" s="390" t="s">
        <v>310</v>
      </c>
      <c r="D62" s="389"/>
      <c r="E62" s="116">
        <f>+③基本情報入力【例】!J57</f>
        <v>0</v>
      </c>
      <c r="F62" s="390" t="s">
        <v>264</v>
      </c>
      <c r="G62" s="87" t="s">
        <v>11</v>
      </c>
      <c r="H62" s="88" t="s">
        <v>351</v>
      </c>
      <c r="I62" s="272">
        <f>0.287*K62^0.673*E62</f>
        <v>0</v>
      </c>
      <c r="J62" s="88" t="s">
        <v>124</v>
      </c>
      <c r="K62" s="224">
        <f>IFERROR('物質収支（既存）【例】'!J41*365/E62,0)</f>
        <v>0</v>
      </c>
      <c r="L62" s="389" t="s">
        <v>562</v>
      </c>
      <c r="M62" s="1437" t="s">
        <v>309</v>
      </c>
      <c r="N62" s="1438"/>
      <c r="O62" s="1438"/>
      <c r="P62" s="1438"/>
      <c r="Q62" s="1438"/>
      <c r="R62" s="1439"/>
    </row>
    <row r="63" spans="1:18" ht="14.25" thickTop="1">
      <c r="B63" s="1436"/>
      <c r="C63" s="1434" t="s">
        <v>259</v>
      </c>
      <c r="D63" s="1434"/>
      <c r="E63" s="1434"/>
      <c r="F63" s="1434"/>
      <c r="G63" s="1434"/>
      <c r="H63" s="1434"/>
      <c r="I63" s="109">
        <f>SUM(I55:I62)</f>
        <v>7.267765078717745</v>
      </c>
      <c r="J63" s="142" t="s">
        <v>124</v>
      </c>
      <c r="K63" s="95"/>
      <c r="L63" s="101"/>
      <c r="M63" s="1431"/>
      <c r="N63" s="1431"/>
      <c r="O63" s="1431"/>
      <c r="P63" s="1431"/>
      <c r="Q63" s="1431"/>
      <c r="R63" s="1431"/>
    </row>
    <row r="64" spans="1:18">
      <c r="J64" s="115"/>
    </row>
    <row r="65" spans="1:18">
      <c r="A65" s="58"/>
      <c r="B65" s="148" t="str">
        <f>+③基本情報入力【例】!O51</f>
        <v>③</v>
      </c>
      <c r="C65" s="58" t="str">
        <f>+③基本情報入力【例】!O52</f>
        <v>B町浄化センター</v>
      </c>
    </row>
    <row r="66" spans="1:18">
      <c r="B66" s="400" t="s">
        <v>230</v>
      </c>
      <c r="C66" s="383" t="s">
        <v>231</v>
      </c>
      <c r="D66" s="383" t="s">
        <v>232</v>
      </c>
      <c r="E66" s="383" t="s">
        <v>233</v>
      </c>
      <c r="F66" s="383" t="s">
        <v>23</v>
      </c>
      <c r="G66" s="1415" t="s">
        <v>235</v>
      </c>
      <c r="H66" s="1415"/>
      <c r="I66" s="1415" t="s">
        <v>236</v>
      </c>
      <c r="J66" s="1415"/>
      <c r="K66" s="1415" t="s">
        <v>237</v>
      </c>
      <c r="L66" s="1415"/>
      <c r="M66" s="1416" t="s">
        <v>291</v>
      </c>
      <c r="N66" s="1416"/>
      <c r="O66" s="77" t="s">
        <v>238</v>
      </c>
      <c r="P66" s="77" t="s">
        <v>239</v>
      </c>
      <c r="Q66" s="77" t="s">
        <v>240</v>
      </c>
      <c r="R66" s="383" t="s">
        <v>97</v>
      </c>
    </row>
    <row r="67" spans="1:18" ht="15.75">
      <c r="B67" s="1417"/>
      <c r="C67" s="1419" t="s">
        <v>241</v>
      </c>
      <c r="D67" s="1221" t="s">
        <v>242</v>
      </c>
      <c r="E67" s="404">
        <f>+③基本情報入力【例】!O53</f>
        <v>1</v>
      </c>
      <c r="F67" s="78" t="s">
        <v>3</v>
      </c>
      <c r="G67" s="79" t="s">
        <v>11</v>
      </c>
      <c r="H67" s="79" t="s">
        <v>294</v>
      </c>
      <c r="I67" s="80">
        <f>K67*(1-O67)*(P67+P67/((P67+1)^Q67-1))</f>
        <v>0.36299690552883929</v>
      </c>
      <c r="J67" s="72" t="s">
        <v>124</v>
      </c>
      <c r="K67" s="70">
        <f>1.31*M67^0.611*E67</f>
        <v>6.4080110037632831</v>
      </c>
      <c r="L67" s="79" t="s">
        <v>120</v>
      </c>
      <c r="M67" s="80">
        <f>IFERROR('計算条件（既存）【例】'!H19/E67,0)</f>
        <v>13.44</v>
      </c>
      <c r="N67" s="1221" t="s">
        <v>243</v>
      </c>
      <c r="O67" s="81">
        <f>+③基本情報入力【例】!$Y$61</f>
        <v>0.1</v>
      </c>
      <c r="P67" s="82">
        <f>+③基本情報入力【例】!$AB$61</f>
        <v>2.3E-2</v>
      </c>
      <c r="Q67" s="83">
        <f>+③基本情報入力【例】!$AE$61</f>
        <v>20</v>
      </c>
      <c r="R67" s="72" t="s">
        <v>244</v>
      </c>
    </row>
    <row r="68" spans="1:18" ht="15.75">
      <c r="B68" s="1417"/>
      <c r="C68" s="1419"/>
      <c r="D68" s="1221"/>
      <c r="E68" s="407">
        <v>0</v>
      </c>
      <c r="F68" s="78" t="s">
        <v>8</v>
      </c>
      <c r="G68" s="79" t="s">
        <v>11</v>
      </c>
      <c r="H68" s="79" t="s">
        <v>293</v>
      </c>
      <c r="I68" s="80">
        <f>K68*(1-O68)*(P68+P68/((P68+1)^Q68-1))</f>
        <v>0</v>
      </c>
      <c r="J68" s="72" t="s">
        <v>124</v>
      </c>
      <c r="K68" s="70">
        <f>1.24*M68^0.598*E68</f>
        <v>0</v>
      </c>
      <c r="L68" s="79" t="s">
        <v>120</v>
      </c>
      <c r="M68" s="80">
        <f>+M67</f>
        <v>13.44</v>
      </c>
      <c r="N68" s="1221"/>
      <c r="O68" s="81">
        <f>+③基本情報入力【例】!$Y$63</f>
        <v>0.1</v>
      </c>
      <c r="P68" s="84">
        <f>+③基本情報入力【例】!$AB$63</f>
        <v>2.3E-2</v>
      </c>
      <c r="Q68" s="83">
        <f>+③基本情報入力【例】!$AE$63</f>
        <v>40</v>
      </c>
      <c r="R68" s="72" t="s">
        <v>244</v>
      </c>
    </row>
    <row r="69" spans="1:18" ht="15.75">
      <c r="B69" s="1417"/>
      <c r="C69" s="1419" t="s">
        <v>22</v>
      </c>
      <c r="D69" s="1221"/>
      <c r="E69" s="404">
        <f>+③基本情報入力【例】!O54</f>
        <v>1</v>
      </c>
      <c r="F69" s="78" t="s">
        <v>3</v>
      </c>
      <c r="G69" s="79" t="s">
        <v>11</v>
      </c>
      <c r="H69" s="79" t="s">
        <v>245</v>
      </c>
      <c r="I69" s="80">
        <f>K69*(1-O69)*(P69+P69/((P69+1)^Q69-1))</f>
        <v>4.075818220508026</v>
      </c>
      <c r="J69" s="72" t="s">
        <v>124</v>
      </c>
      <c r="K69" s="70">
        <f>22.7*M69^0.444*E69</f>
        <v>71.950718059989924</v>
      </c>
      <c r="L69" s="79" t="s">
        <v>120</v>
      </c>
      <c r="M69" s="80">
        <f>IFERROR('計算条件（既存）【例】'!H19/E69,0)</f>
        <v>13.44</v>
      </c>
      <c r="N69" s="1221" t="s">
        <v>243</v>
      </c>
      <c r="O69" s="81">
        <f>+③基本情報入力【例】!$Y$61</f>
        <v>0.1</v>
      </c>
      <c r="P69" s="82">
        <f>+③基本情報入力【例】!$AB$61</f>
        <v>2.3E-2</v>
      </c>
      <c r="Q69" s="83">
        <f>+③基本情報入力【例】!$AE$61</f>
        <v>20</v>
      </c>
      <c r="R69" s="72" t="s">
        <v>244</v>
      </c>
    </row>
    <row r="70" spans="1:18" ht="15.75">
      <c r="B70" s="1417"/>
      <c r="C70" s="1419"/>
      <c r="D70" s="1221"/>
      <c r="E70" s="407">
        <v>0</v>
      </c>
      <c r="F70" s="78" t="s">
        <v>8</v>
      </c>
      <c r="G70" s="79" t="s">
        <v>11</v>
      </c>
      <c r="H70" s="79" t="s">
        <v>295</v>
      </c>
      <c r="I70" s="80">
        <f>K70*(1-O70)*(P70+P70/((P70+1)^Q70-1))</f>
        <v>0</v>
      </c>
      <c r="J70" s="72" t="s">
        <v>124</v>
      </c>
      <c r="K70" s="70">
        <f>43.4*M70^0.373*E70</f>
        <v>0</v>
      </c>
      <c r="L70" s="79" t="s">
        <v>120</v>
      </c>
      <c r="M70" s="80">
        <f>+M69</f>
        <v>13.44</v>
      </c>
      <c r="N70" s="1221"/>
      <c r="O70" s="81">
        <f>+③基本情報入力【例】!$Y$63</f>
        <v>0.1</v>
      </c>
      <c r="P70" s="84">
        <f>+③基本情報入力【例】!$AB$63</f>
        <v>2.3E-2</v>
      </c>
      <c r="Q70" s="83">
        <f>+③基本情報入力【例】!$AE$63</f>
        <v>40</v>
      </c>
      <c r="R70" s="72" t="s">
        <v>244</v>
      </c>
    </row>
    <row r="71" spans="1:18" ht="15.75">
      <c r="B71" s="1417"/>
      <c r="C71" s="384" t="s">
        <v>246</v>
      </c>
      <c r="D71" s="72"/>
      <c r="E71" s="404">
        <f>+③基本情報入力【例】!O53</f>
        <v>1</v>
      </c>
      <c r="F71" s="384" t="s">
        <v>4</v>
      </c>
      <c r="G71" s="79" t="s">
        <v>11</v>
      </c>
      <c r="H71" s="72" t="s">
        <v>292</v>
      </c>
      <c r="I71" s="80">
        <f>K71*(1-O71)*(P71+P71/((P71+1)^Q71-1))</f>
        <v>4.2565688572016942</v>
      </c>
      <c r="J71" s="72" t="s">
        <v>124</v>
      </c>
      <c r="K71" s="69">
        <f>17.8*M71^0.464*E71</f>
        <v>59.428841328568211</v>
      </c>
      <c r="L71" s="72" t="s">
        <v>120</v>
      </c>
      <c r="M71" s="80">
        <f>IFERROR('計算条件（既存）【例】'!H19/E71,0)</f>
        <v>13.44</v>
      </c>
      <c r="N71" s="385" t="s">
        <v>243</v>
      </c>
      <c r="O71" s="81">
        <f>+③基本情報入力【例】!$Y$62</f>
        <v>0.1</v>
      </c>
      <c r="P71" s="84">
        <f>+③基本情報入力【例】!$AB$62</f>
        <v>2.3E-2</v>
      </c>
      <c r="Q71" s="83">
        <f>+③基本情報入力【例】!$AE$62</f>
        <v>15</v>
      </c>
      <c r="R71" s="72" t="s">
        <v>247</v>
      </c>
    </row>
    <row r="72" spans="1:18" ht="15.75">
      <c r="B72" s="1417"/>
      <c r="C72" s="1407" t="s">
        <v>18</v>
      </c>
      <c r="D72" s="1408" t="s">
        <v>249</v>
      </c>
      <c r="E72" s="404">
        <f>+③基本情報入力【例】!O55</f>
        <v>0</v>
      </c>
      <c r="F72" s="384" t="s">
        <v>3</v>
      </c>
      <c r="G72" s="79" t="s">
        <v>11</v>
      </c>
      <c r="H72" s="72" t="s">
        <v>134</v>
      </c>
      <c r="I72" s="80">
        <f t="shared" ref="I72:I81" si="2">K72*(1-O72)*(P72+P72/((P72+1)^Q72-1))</f>
        <v>0</v>
      </c>
      <c r="J72" s="72" t="s">
        <v>124</v>
      </c>
      <c r="K72" s="69">
        <f>124*(M72/500)^0.6*E72</f>
        <v>0</v>
      </c>
      <c r="L72" s="72" t="s">
        <v>120</v>
      </c>
      <c r="M72" s="146">
        <f>IFERROR(ROUNDUP('物質収支（既存）【例】'!K10*25,-1)/E72,0)</f>
        <v>0</v>
      </c>
      <c r="N72" s="385" t="s">
        <v>1</v>
      </c>
      <c r="O72" s="81">
        <f>+③基本情報入力【例】!$Y$61</f>
        <v>0.1</v>
      </c>
      <c r="P72" s="82">
        <f>+③基本情報入力【例】!$AB$61</f>
        <v>2.3E-2</v>
      </c>
      <c r="Q72" s="83">
        <f>+③基本情報入力【例】!$AE$61</f>
        <v>20</v>
      </c>
      <c r="R72" s="72" t="s">
        <v>250</v>
      </c>
    </row>
    <row r="73" spans="1:18" ht="15.75">
      <c r="B73" s="1417"/>
      <c r="C73" s="1407"/>
      <c r="D73" s="1408"/>
      <c r="E73" s="407">
        <v>0</v>
      </c>
      <c r="F73" s="384" t="s">
        <v>8</v>
      </c>
      <c r="G73" s="79" t="s">
        <v>11</v>
      </c>
      <c r="H73" s="72" t="s">
        <v>135</v>
      </c>
      <c r="I73" s="80">
        <f t="shared" si="2"/>
        <v>0</v>
      </c>
      <c r="J73" s="72" t="s">
        <v>124</v>
      </c>
      <c r="K73" s="69">
        <f>44.1*(M73/500)^0.6*E73</f>
        <v>0</v>
      </c>
      <c r="L73" s="72" t="s">
        <v>120</v>
      </c>
      <c r="M73" s="146">
        <f>+M72</f>
        <v>0</v>
      </c>
      <c r="N73" s="385" t="s">
        <v>1</v>
      </c>
      <c r="O73" s="81">
        <f>+③基本情報入力【例】!$Y$63</f>
        <v>0.1</v>
      </c>
      <c r="P73" s="84">
        <f>+③基本情報入力【例】!$AB$63</f>
        <v>2.3E-2</v>
      </c>
      <c r="Q73" s="83">
        <f>+③基本情報入力【例】!$AE$63</f>
        <v>40</v>
      </c>
      <c r="R73" s="86"/>
    </row>
    <row r="74" spans="1:18" ht="15.75">
      <c r="B74" s="1417"/>
      <c r="C74" s="384" t="s">
        <v>9</v>
      </c>
      <c r="D74" s="72"/>
      <c r="E74" s="404">
        <f>+③基本情報入力【例】!O55</f>
        <v>0</v>
      </c>
      <c r="F74" s="384" t="s">
        <v>3</v>
      </c>
      <c r="G74" s="79" t="s">
        <v>11</v>
      </c>
      <c r="H74" s="72" t="s">
        <v>300</v>
      </c>
      <c r="I74" s="80">
        <f t="shared" si="2"/>
        <v>0</v>
      </c>
      <c r="J74" s="72" t="s">
        <v>124</v>
      </c>
      <c r="K74" s="69">
        <f>10.4*M74^0.437*E74</f>
        <v>0</v>
      </c>
      <c r="L74" s="72" t="s">
        <v>120</v>
      </c>
      <c r="M74" s="146">
        <f>IFERROR(ROUNDUP('物質収支（既存）【例】'!K84/2,-1)/E74,0)</f>
        <v>0</v>
      </c>
      <c r="N74" s="385" t="s">
        <v>1</v>
      </c>
      <c r="O74" s="81">
        <f>+③基本情報入力【例】!$Y$61</f>
        <v>0.1</v>
      </c>
      <c r="P74" s="82">
        <f>+③基本情報入力【例】!$AB$61</f>
        <v>2.3E-2</v>
      </c>
      <c r="Q74" s="83">
        <f>+③基本情報入力【例】!$AE$61</f>
        <v>20</v>
      </c>
      <c r="R74" s="74" t="s">
        <v>251</v>
      </c>
    </row>
    <row r="75" spans="1:18" ht="15.75">
      <c r="B75" s="1417"/>
      <c r="C75" s="384" t="s">
        <v>16</v>
      </c>
      <c r="D75" s="72"/>
      <c r="E75" s="404">
        <f>+③基本情報入力【例】!O55</f>
        <v>0</v>
      </c>
      <c r="F75" s="384" t="s">
        <v>3</v>
      </c>
      <c r="G75" s="79" t="s">
        <v>11</v>
      </c>
      <c r="H75" s="72" t="s">
        <v>299</v>
      </c>
      <c r="I75" s="80">
        <f t="shared" si="2"/>
        <v>0</v>
      </c>
      <c r="J75" s="72" t="s">
        <v>124</v>
      </c>
      <c r="K75" s="69">
        <f>0.878*M75^0.761*E75</f>
        <v>0</v>
      </c>
      <c r="L75" s="72" t="s">
        <v>120</v>
      </c>
      <c r="M75" s="146">
        <f>IFERROR(ROUNDUP('物質収支（既存）【例】'!K84/24,0)/E75,0)</f>
        <v>0</v>
      </c>
      <c r="N75" s="385" t="s">
        <v>298</v>
      </c>
      <c r="O75" s="81">
        <f>+③基本情報入力【例】!$Y$61</f>
        <v>0.1</v>
      </c>
      <c r="P75" s="82">
        <f>+③基本情報入力【例】!$AB$61</f>
        <v>2.3E-2</v>
      </c>
      <c r="Q75" s="83">
        <f>+③基本情報入力【例】!$AE$61</f>
        <v>20</v>
      </c>
      <c r="R75" s="74" t="s">
        <v>252</v>
      </c>
    </row>
    <row r="76" spans="1:18" ht="15.75">
      <c r="A76" s="58"/>
      <c r="B76" s="1417"/>
      <c r="C76" s="1409" t="s">
        <v>10</v>
      </c>
      <c r="D76" s="1412"/>
      <c r="E76" s="404">
        <f>+③基本情報入力【例】!O56</f>
        <v>0</v>
      </c>
      <c r="F76" s="384" t="s">
        <v>3</v>
      </c>
      <c r="G76" s="79" t="s">
        <v>11</v>
      </c>
      <c r="H76" s="72" t="s">
        <v>297</v>
      </c>
      <c r="I76" s="80">
        <f t="shared" si="2"/>
        <v>0</v>
      </c>
      <c r="J76" s="72" t="s">
        <v>124</v>
      </c>
      <c r="K76" s="69">
        <f>31.9*M76^0.971*E76</f>
        <v>0</v>
      </c>
      <c r="L76" s="72" t="s">
        <v>120</v>
      </c>
      <c r="M76" s="222">
        <f>IFERROR('物質収支（既存）【例】'!K41/E76,0)</f>
        <v>0</v>
      </c>
      <c r="N76" s="385" t="s">
        <v>0</v>
      </c>
      <c r="O76" s="81">
        <f>+③基本情報入力【例】!$Y$61</f>
        <v>0.1</v>
      </c>
      <c r="P76" s="82">
        <f>+③基本情報入力【例】!$AB$61</f>
        <v>2.3E-2</v>
      </c>
      <c r="Q76" s="83">
        <f>+③基本情報入力【例】!$AE$61</f>
        <v>20</v>
      </c>
      <c r="R76" s="72" t="s">
        <v>253</v>
      </c>
    </row>
    <row r="77" spans="1:18" ht="15.75" customHeight="1">
      <c r="A77" s="58"/>
      <c r="B77" s="1417"/>
      <c r="C77" s="1410"/>
      <c r="D77" s="1413"/>
      <c r="E77" s="404">
        <f>+③基本情報入力【例】!O56</f>
        <v>0</v>
      </c>
      <c r="F77" s="384" t="s">
        <v>4</v>
      </c>
      <c r="G77" s="79" t="s">
        <v>11</v>
      </c>
      <c r="H77" s="72" t="s">
        <v>136</v>
      </c>
      <c r="I77" s="80">
        <f t="shared" si="2"/>
        <v>0</v>
      </c>
      <c r="J77" s="72" t="s">
        <v>124</v>
      </c>
      <c r="K77" s="69">
        <f>6.59*M77^0.809*E77</f>
        <v>0</v>
      </c>
      <c r="L77" s="72" t="s">
        <v>120</v>
      </c>
      <c r="M77" s="222">
        <f>+M76</f>
        <v>0</v>
      </c>
      <c r="N77" s="385" t="s">
        <v>0</v>
      </c>
      <c r="O77" s="81">
        <f>+③基本情報入力【例】!$Y$62</f>
        <v>0.1</v>
      </c>
      <c r="P77" s="84">
        <f>+③基本情報入力【例】!$AB$62</f>
        <v>2.3E-2</v>
      </c>
      <c r="Q77" s="83">
        <f>+③基本情報入力【例】!$AE$62</f>
        <v>15</v>
      </c>
      <c r="R77" s="72"/>
    </row>
    <row r="78" spans="1:18" ht="15.75">
      <c r="A78" s="58"/>
      <c r="B78" s="1417"/>
      <c r="C78" s="1411"/>
      <c r="D78" s="1414"/>
      <c r="E78" s="407">
        <v>0</v>
      </c>
      <c r="F78" s="384" t="s">
        <v>5</v>
      </c>
      <c r="G78" s="79" t="s">
        <v>11</v>
      </c>
      <c r="H78" s="72" t="s">
        <v>137</v>
      </c>
      <c r="I78" s="80">
        <f t="shared" si="2"/>
        <v>0</v>
      </c>
      <c r="J78" s="72" t="s">
        <v>124</v>
      </c>
      <c r="K78" s="69">
        <f>12.3*M78^0.941*E78</f>
        <v>0</v>
      </c>
      <c r="L78" s="72" t="s">
        <v>120</v>
      </c>
      <c r="M78" s="222">
        <f>+M76</f>
        <v>0</v>
      </c>
      <c r="N78" s="385" t="s">
        <v>0</v>
      </c>
      <c r="O78" s="81">
        <f>+③基本情報入力【例】!$Y$63</f>
        <v>0.1</v>
      </c>
      <c r="P78" s="84">
        <f>+③基本情報入力【例】!$AB$63</f>
        <v>2.3E-2</v>
      </c>
      <c r="Q78" s="83">
        <f>+③基本情報入力【例】!$AE$63</f>
        <v>40</v>
      </c>
      <c r="R78" s="72"/>
    </row>
    <row r="79" spans="1:18" ht="15.75">
      <c r="A79" s="58"/>
      <c r="B79" s="1417"/>
      <c r="C79" s="1423" t="s">
        <v>310</v>
      </c>
      <c r="D79" s="1347"/>
      <c r="E79" s="404">
        <f>+③基本情報入力【例】!O57</f>
        <v>0</v>
      </c>
      <c r="F79" s="384" t="s">
        <v>3</v>
      </c>
      <c r="G79" s="144" t="s">
        <v>11</v>
      </c>
      <c r="H79" s="72" t="s">
        <v>317</v>
      </c>
      <c r="I79" s="94">
        <f t="shared" si="2"/>
        <v>0</v>
      </c>
      <c r="J79" s="97" t="s">
        <v>124</v>
      </c>
      <c r="K79" s="69">
        <f>188.8*M79^0.597*E79</f>
        <v>0</v>
      </c>
      <c r="L79" s="97" t="s">
        <v>120</v>
      </c>
      <c r="M79" s="222">
        <f>IFERROR('物質収支（既存）【例】'!K41/E79,0)</f>
        <v>0</v>
      </c>
      <c r="N79" s="387" t="s">
        <v>0</v>
      </c>
      <c r="O79" s="81">
        <f>+③基本情報入力【例】!$Y$61</f>
        <v>0.1</v>
      </c>
      <c r="P79" s="82">
        <f>+③基本情報入力【例】!$AB$61</f>
        <v>2.3E-2</v>
      </c>
      <c r="Q79" s="83">
        <f>+③基本情報入力【例】!$AE$61</f>
        <v>20</v>
      </c>
      <c r="R79" s="72" t="s">
        <v>316</v>
      </c>
    </row>
    <row r="80" spans="1:18" ht="15.75">
      <c r="A80" s="58"/>
      <c r="B80" s="1417"/>
      <c r="C80" s="1424"/>
      <c r="D80" s="1348"/>
      <c r="E80" s="404">
        <f>+③基本情報入力【例】!O57</f>
        <v>0</v>
      </c>
      <c r="F80" s="384" t="s">
        <v>4</v>
      </c>
      <c r="G80" s="144" t="s">
        <v>11</v>
      </c>
      <c r="H80" s="72" t="s">
        <v>315</v>
      </c>
      <c r="I80" s="94">
        <f t="shared" si="2"/>
        <v>0</v>
      </c>
      <c r="J80" s="97" t="s">
        <v>124</v>
      </c>
      <c r="K80" s="69">
        <f>72.6*M80^0.539*E80</f>
        <v>0</v>
      </c>
      <c r="L80" s="97" t="s">
        <v>120</v>
      </c>
      <c r="M80" s="222">
        <f>+M79</f>
        <v>0</v>
      </c>
      <c r="N80" s="387" t="s">
        <v>0</v>
      </c>
      <c r="O80" s="81">
        <f>+③基本情報入力【例】!$Y$62</f>
        <v>0.1</v>
      </c>
      <c r="P80" s="84">
        <f>+③基本情報入力【例】!$AB$62</f>
        <v>2.3E-2</v>
      </c>
      <c r="Q80" s="83">
        <f>+③基本情報入力【例】!$AE$62</f>
        <v>15</v>
      </c>
      <c r="R80" s="72"/>
    </row>
    <row r="81" spans="1:18" ht="16.5" thickBot="1">
      <c r="A81" s="58"/>
      <c r="B81" s="1417"/>
      <c r="C81" s="1425"/>
      <c r="D81" s="1426"/>
      <c r="E81" s="116">
        <v>0</v>
      </c>
      <c r="F81" s="390" t="s">
        <v>8</v>
      </c>
      <c r="G81" s="87" t="s">
        <v>11</v>
      </c>
      <c r="H81" s="88" t="s">
        <v>314</v>
      </c>
      <c r="I81" s="89">
        <f t="shared" si="2"/>
        <v>0</v>
      </c>
      <c r="J81" s="88" t="s">
        <v>124</v>
      </c>
      <c r="K81" s="90">
        <f>136.1*M81^0.38*E81</f>
        <v>0</v>
      </c>
      <c r="L81" s="88" t="s">
        <v>120</v>
      </c>
      <c r="M81" s="224">
        <f>+M79</f>
        <v>0</v>
      </c>
      <c r="N81" s="389" t="s">
        <v>0</v>
      </c>
      <c r="O81" s="91">
        <f>+③基本情報入力【例】!$Y$63</f>
        <v>0.1</v>
      </c>
      <c r="P81" s="92">
        <f>+③基本情報入力【例】!$AB$63</f>
        <v>2.3E-2</v>
      </c>
      <c r="Q81" s="93">
        <f>+③基本情報入力【例】!$AE$63</f>
        <v>40</v>
      </c>
      <c r="R81" s="88"/>
    </row>
    <row r="82" spans="1:18" ht="14.25" thickTop="1">
      <c r="B82" s="1418"/>
      <c r="C82" s="1434" t="s">
        <v>259</v>
      </c>
      <c r="D82" s="1434"/>
      <c r="E82" s="1434"/>
      <c r="F82" s="1434"/>
      <c r="G82" s="1434"/>
      <c r="H82" s="1434"/>
      <c r="I82" s="109">
        <f>SUM(I67:I81)</f>
        <v>8.6953839832385604</v>
      </c>
      <c r="J82" s="112" t="s">
        <v>124</v>
      </c>
      <c r="K82" s="111">
        <f>SUM(K67:K81)</f>
        <v>137.78757039232141</v>
      </c>
      <c r="L82" s="112" t="s">
        <v>120</v>
      </c>
      <c r="M82" s="113"/>
      <c r="N82" s="382"/>
      <c r="O82" s="99"/>
      <c r="P82" s="100"/>
      <c r="Q82" s="101"/>
      <c r="R82" s="101"/>
    </row>
    <row r="83" spans="1:18">
      <c r="B83" s="381" t="s">
        <v>260</v>
      </c>
      <c r="C83" s="380" t="s">
        <v>231</v>
      </c>
      <c r="D83" s="380" t="s">
        <v>232</v>
      </c>
      <c r="E83" s="380" t="s">
        <v>233</v>
      </c>
      <c r="F83" s="380" t="s">
        <v>273</v>
      </c>
      <c r="G83" s="1432" t="s">
        <v>235</v>
      </c>
      <c r="H83" s="1432"/>
      <c r="I83" s="1432" t="s">
        <v>237</v>
      </c>
      <c r="J83" s="1432"/>
      <c r="K83" s="1433" t="s">
        <v>291</v>
      </c>
      <c r="L83" s="1433"/>
      <c r="M83" s="1432" t="s">
        <v>97</v>
      </c>
      <c r="N83" s="1432"/>
      <c r="O83" s="1432"/>
      <c r="P83" s="1432"/>
      <c r="Q83" s="1432"/>
      <c r="R83" s="1432"/>
    </row>
    <row r="84" spans="1:18" ht="15.75">
      <c r="B84" s="1435"/>
      <c r="C84" s="384" t="s">
        <v>241</v>
      </c>
      <c r="D84" s="385" t="s">
        <v>242</v>
      </c>
      <c r="E84" s="404">
        <f>+③基本情報入力【例】!O53</f>
        <v>1</v>
      </c>
      <c r="F84" s="78" t="s">
        <v>262</v>
      </c>
      <c r="G84" s="79" t="s">
        <v>11</v>
      </c>
      <c r="H84" s="72" t="s">
        <v>290</v>
      </c>
      <c r="I84" s="80">
        <f>0.03*K84^0.628*E84</f>
        <v>0.13678238529511105</v>
      </c>
      <c r="J84" s="72" t="s">
        <v>124</v>
      </c>
      <c r="K84" s="80">
        <f>IFERROR('計算条件（既存）【例】'!G19/E84,0)</f>
        <v>11.2</v>
      </c>
      <c r="L84" s="385" t="s">
        <v>243</v>
      </c>
      <c r="M84" s="1217" t="s">
        <v>263</v>
      </c>
      <c r="N84" s="1218"/>
      <c r="O84" s="1218"/>
      <c r="P84" s="1218"/>
      <c r="Q84" s="1218"/>
      <c r="R84" s="1422"/>
    </row>
    <row r="85" spans="1:18" ht="15.75">
      <c r="B85" s="1435"/>
      <c r="C85" s="384" t="s">
        <v>22</v>
      </c>
      <c r="D85" s="385"/>
      <c r="E85" s="404">
        <f>+③基本情報入力【例】!O54</f>
        <v>1</v>
      </c>
      <c r="F85" s="78" t="s">
        <v>308</v>
      </c>
      <c r="G85" s="79" t="s">
        <v>11</v>
      </c>
      <c r="H85" s="72" t="s">
        <v>142</v>
      </c>
      <c r="I85" s="80">
        <f>0.039*K85^0.596*E85</f>
        <v>5.5401955709415276</v>
      </c>
      <c r="J85" s="72" t="s">
        <v>124</v>
      </c>
      <c r="K85" s="80">
        <f>IFERROR('計算条件（既存）【例】'!G19*365/E85,0)</f>
        <v>4087.9999999999995</v>
      </c>
      <c r="L85" s="385" t="s">
        <v>265</v>
      </c>
      <c r="M85" s="1217" t="s">
        <v>266</v>
      </c>
      <c r="N85" s="1218"/>
      <c r="O85" s="1218"/>
      <c r="P85" s="1218"/>
      <c r="Q85" s="1218"/>
      <c r="R85" s="1422"/>
    </row>
    <row r="86" spans="1:18" ht="15.75">
      <c r="B86" s="1435"/>
      <c r="C86" s="384" t="s">
        <v>246</v>
      </c>
      <c r="D86" s="72"/>
      <c r="E86" s="404">
        <f>+③基本情報入力【例】!O53</f>
        <v>1</v>
      </c>
      <c r="F86" s="384" t="s">
        <v>267</v>
      </c>
      <c r="G86" s="79" t="s">
        <v>11</v>
      </c>
      <c r="H86" s="72" t="s">
        <v>141</v>
      </c>
      <c r="I86" s="80">
        <f>0.0024*K86^0.533*E86</f>
        <v>0.20190475385789763</v>
      </c>
      <c r="J86" s="72" t="s">
        <v>124</v>
      </c>
      <c r="K86" s="80">
        <f>IFERROR('計算条件（既存）【例】'!G19*365/E86,0)</f>
        <v>4087.9999999999995</v>
      </c>
      <c r="L86" s="385" t="s">
        <v>265</v>
      </c>
      <c r="M86" s="1217" t="s">
        <v>266</v>
      </c>
      <c r="N86" s="1218"/>
      <c r="O86" s="1218"/>
      <c r="P86" s="1218"/>
      <c r="Q86" s="1218"/>
      <c r="R86" s="1422"/>
    </row>
    <row r="87" spans="1:18" ht="15.75">
      <c r="B87" s="1435"/>
      <c r="C87" s="402" t="s">
        <v>18</v>
      </c>
      <c r="D87" s="403" t="s">
        <v>249</v>
      </c>
      <c r="E87" s="404">
        <f>+③基本情報入力【例】!O55</f>
        <v>0</v>
      </c>
      <c r="F87" s="384" t="s">
        <v>17</v>
      </c>
      <c r="G87" s="79" t="s">
        <v>11</v>
      </c>
      <c r="H87" s="72" t="s">
        <v>313</v>
      </c>
      <c r="I87" s="85">
        <f>0.171*(K87)^0.39*E87</f>
        <v>0</v>
      </c>
      <c r="J87" s="72" t="s">
        <v>124</v>
      </c>
      <c r="K87" s="146">
        <f>IFERROR('計算条件（既存）【例】'!G19*365/E87,0)</f>
        <v>0</v>
      </c>
      <c r="L87" s="385" t="s">
        <v>265</v>
      </c>
      <c r="M87" s="1217" t="s">
        <v>266</v>
      </c>
      <c r="N87" s="1218"/>
      <c r="O87" s="1218"/>
      <c r="P87" s="1218"/>
      <c r="Q87" s="1218"/>
      <c r="R87" s="1422"/>
    </row>
    <row r="88" spans="1:18" ht="15.75">
      <c r="B88" s="1435"/>
      <c r="C88" s="402" t="s">
        <v>9</v>
      </c>
      <c r="D88" s="403"/>
      <c r="E88" s="404">
        <f>+③基本情報入力【例】!O55</f>
        <v>0</v>
      </c>
      <c r="F88" s="384" t="s">
        <v>13</v>
      </c>
      <c r="G88" s="79" t="s">
        <v>11</v>
      </c>
      <c r="H88" s="402" t="s">
        <v>312</v>
      </c>
      <c r="I88" s="85">
        <f>0.283*K88^0.302*E88</f>
        <v>0</v>
      </c>
      <c r="J88" s="72" t="s">
        <v>124</v>
      </c>
      <c r="K88" s="146">
        <f>IFERROR(ROUNDUP('物質収支（既存）【例】'!K84/2,-1)/E88,0)</f>
        <v>0</v>
      </c>
      <c r="L88" s="385" t="s">
        <v>1</v>
      </c>
      <c r="M88" s="1217" t="s">
        <v>251</v>
      </c>
      <c r="N88" s="1218"/>
      <c r="O88" s="1218"/>
      <c r="P88" s="1218"/>
      <c r="Q88" s="1218"/>
      <c r="R88" s="1422"/>
    </row>
    <row r="89" spans="1:18" ht="15.75">
      <c r="B89" s="1435"/>
      <c r="C89" s="402" t="s">
        <v>16</v>
      </c>
      <c r="D89" s="403"/>
      <c r="E89" s="404">
        <f>+③基本情報入力【例】!O55</f>
        <v>0</v>
      </c>
      <c r="F89" s="384" t="s">
        <v>13</v>
      </c>
      <c r="G89" s="79" t="s">
        <v>11</v>
      </c>
      <c r="H89" s="402" t="s">
        <v>311</v>
      </c>
      <c r="I89" s="85">
        <f>0.0796*K89^0.761*E89</f>
        <v>0</v>
      </c>
      <c r="J89" s="72" t="s">
        <v>124</v>
      </c>
      <c r="K89" s="146">
        <f>IFERROR(ROUNDUP('物質収支（既存）【例】'!K84/24,0)/E89,0)</f>
        <v>0</v>
      </c>
      <c r="L89" s="385" t="s">
        <v>298</v>
      </c>
      <c r="M89" s="1217" t="s">
        <v>252</v>
      </c>
      <c r="N89" s="1218"/>
      <c r="O89" s="1218"/>
      <c r="P89" s="1218"/>
      <c r="Q89" s="1218"/>
      <c r="R89" s="1422"/>
    </row>
    <row r="90" spans="1:18" ht="15.75">
      <c r="B90" s="1435"/>
      <c r="C90" s="402" t="s">
        <v>10</v>
      </c>
      <c r="D90" s="403"/>
      <c r="E90" s="404">
        <f>+③基本情報入力【例】!O56</f>
        <v>0</v>
      </c>
      <c r="F90" s="384" t="s">
        <v>17</v>
      </c>
      <c r="G90" s="79" t="s">
        <v>11</v>
      </c>
      <c r="H90" s="72" t="s">
        <v>140</v>
      </c>
      <c r="I90" s="85">
        <f>0.362*K90^0.585*E90</f>
        <v>0</v>
      </c>
      <c r="J90" s="72" t="s">
        <v>124</v>
      </c>
      <c r="K90" s="222">
        <f>IFERROR('物質収支（既存）【例】'!K41*365/E90,0)</f>
        <v>0</v>
      </c>
      <c r="L90" s="385" t="s">
        <v>562</v>
      </c>
      <c r="M90" s="1217" t="s">
        <v>268</v>
      </c>
      <c r="N90" s="1218"/>
      <c r="O90" s="1218"/>
      <c r="P90" s="1218"/>
      <c r="Q90" s="1218"/>
      <c r="R90" s="1422"/>
    </row>
    <row r="91" spans="1:18" ht="16.5" thickBot="1">
      <c r="B91" s="1435"/>
      <c r="C91" s="390" t="s">
        <v>310</v>
      </c>
      <c r="D91" s="389"/>
      <c r="E91" s="116">
        <f>+③基本情報入力【例】!O57</f>
        <v>0</v>
      </c>
      <c r="F91" s="390" t="s">
        <v>264</v>
      </c>
      <c r="G91" s="87" t="s">
        <v>11</v>
      </c>
      <c r="H91" s="88" t="s">
        <v>351</v>
      </c>
      <c r="I91" s="272">
        <f>0.287*K91^0.673*E91</f>
        <v>0</v>
      </c>
      <c r="J91" s="88" t="s">
        <v>124</v>
      </c>
      <c r="K91" s="224">
        <f>IFERROR('物質収支（既存）【例】'!K41*365/E91,0)</f>
        <v>0</v>
      </c>
      <c r="L91" s="389" t="s">
        <v>562</v>
      </c>
      <c r="M91" s="1437" t="s">
        <v>309</v>
      </c>
      <c r="N91" s="1438"/>
      <c r="O91" s="1438"/>
      <c r="P91" s="1438"/>
      <c r="Q91" s="1438"/>
      <c r="R91" s="1439"/>
    </row>
    <row r="92" spans="1:18" ht="14.25" thickTop="1">
      <c r="B92" s="1436"/>
      <c r="C92" s="1434" t="s">
        <v>259</v>
      </c>
      <c r="D92" s="1434"/>
      <c r="E92" s="1434"/>
      <c r="F92" s="1434"/>
      <c r="G92" s="1434"/>
      <c r="H92" s="1434"/>
      <c r="I92" s="109">
        <f>SUM(I84:I91)</f>
        <v>5.878882710094536</v>
      </c>
      <c r="J92" s="112" t="s">
        <v>124</v>
      </c>
      <c r="K92" s="118"/>
      <c r="L92" s="382"/>
      <c r="M92" s="1431"/>
      <c r="N92" s="1431"/>
      <c r="O92" s="1431"/>
      <c r="P92" s="1431"/>
      <c r="Q92" s="1431"/>
      <c r="R92" s="1431"/>
    </row>
    <row r="94" spans="1:18">
      <c r="A94" s="58"/>
      <c r="B94" s="148" t="str">
        <f>+③基本情報入力【例】!T51</f>
        <v>④</v>
      </c>
      <c r="C94" s="105" t="str">
        <f>+③基本情報入力【例】!T52</f>
        <v>C町西浄化センター</v>
      </c>
      <c r="F94" s="287"/>
      <c r="G94" s="287"/>
      <c r="H94" s="287"/>
    </row>
    <row r="95" spans="1:18">
      <c r="B95" s="400" t="s">
        <v>230</v>
      </c>
      <c r="C95" s="399" t="s">
        <v>231</v>
      </c>
      <c r="D95" s="400" t="s">
        <v>232</v>
      </c>
      <c r="E95" s="398" t="s">
        <v>233</v>
      </c>
      <c r="F95" s="400" t="s">
        <v>23</v>
      </c>
      <c r="G95" s="1440" t="s">
        <v>235</v>
      </c>
      <c r="H95" s="1441"/>
      <c r="I95" s="1415" t="s">
        <v>236</v>
      </c>
      <c r="J95" s="1415"/>
      <c r="K95" s="1442" t="s">
        <v>237</v>
      </c>
      <c r="L95" s="1442"/>
      <c r="M95" s="1443" t="s">
        <v>291</v>
      </c>
      <c r="N95" s="1443"/>
      <c r="O95" s="119" t="s">
        <v>238</v>
      </c>
      <c r="P95" s="119" t="s">
        <v>239</v>
      </c>
      <c r="Q95" s="119" t="s">
        <v>240</v>
      </c>
      <c r="R95" s="400" t="s">
        <v>97</v>
      </c>
    </row>
    <row r="96" spans="1:18" ht="15.75">
      <c r="B96" s="1417"/>
      <c r="C96" s="1419" t="s">
        <v>241</v>
      </c>
      <c r="D96" s="1221" t="s">
        <v>242</v>
      </c>
      <c r="E96" s="404">
        <f>+③基本情報入力【例】!T53</f>
        <v>1</v>
      </c>
      <c r="F96" s="78" t="s">
        <v>3</v>
      </c>
      <c r="G96" s="79" t="s">
        <v>11</v>
      </c>
      <c r="H96" s="79" t="s">
        <v>294</v>
      </c>
      <c r="I96" s="80">
        <f>K96*(1-O96)*(P96+P96/((P96+1)^Q96-1))</f>
        <v>0.30669427879447303</v>
      </c>
      <c r="J96" s="72" t="s">
        <v>124</v>
      </c>
      <c r="K96" s="70">
        <f>1.31*M96^0.611*E96</f>
        <v>5.41409660350421</v>
      </c>
      <c r="L96" s="79" t="s">
        <v>120</v>
      </c>
      <c r="M96" s="80">
        <f>IFERROR('計算条件（既存）【例】'!H25/E96,0)</f>
        <v>10.199999999999999</v>
      </c>
      <c r="N96" s="1221" t="s">
        <v>243</v>
      </c>
      <c r="O96" s="81">
        <f>+③基本情報入力【例】!$Y$61</f>
        <v>0.1</v>
      </c>
      <c r="P96" s="82">
        <f>+③基本情報入力【例】!$AB$61</f>
        <v>2.3E-2</v>
      </c>
      <c r="Q96" s="83">
        <f>+③基本情報入力【例】!$AE$61</f>
        <v>20</v>
      </c>
      <c r="R96" s="72" t="s">
        <v>244</v>
      </c>
    </row>
    <row r="97" spans="1:19" ht="15.75">
      <c r="B97" s="1417"/>
      <c r="C97" s="1419"/>
      <c r="D97" s="1221"/>
      <c r="E97" s="404">
        <v>0</v>
      </c>
      <c r="F97" s="78" t="s">
        <v>8</v>
      </c>
      <c r="G97" s="79" t="s">
        <v>11</v>
      </c>
      <c r="H97" s="79" t="s">
        <v>293</v>
      </c>
      <c r="I97" s="80">
        <f>K97*(1-O97)*(P97+P97/((P97+1)^Q97-1))</f>
        <v>0</v>
      </c>
      <c r="J97" s="72" t="s">
        <v>124</v>
      </c>
      <c r="K97" s="70">
        <f>1.24*M97^0.598*E97</f>
        <v>0</v>
      </c>
      <c r="L97" s="79" t="s">
        <v>120</v>
      </c>
      <c r="M97" s="80">
        <f>+M96</f>
        <v>10.199999999999999</v>
      </c>
      <c r="N97" s="1221"/>
      <c r="O97" s="81">
        <f>+③基本情報入力【例】!$Y$63</f>
        <v>0.1</v>
      </c>
      <c r="P97" s="84">
        <f>+③基本情報入力【例】!$AB$63</f>
        <v>2.3E-2</v>
      </c>
      <c r="Q97" s="83">
        <f>+③基本情報入力【例】!$AE$63</f>
        <v>40</v>
      </c>
      <c r="R97" s="72" t="s">
        <v>244</v>
      </c>
    </row>
    <row r="98" spans="1:19" ht="15.75">
      <c r="B98" s="1417"/>
      <c r="C98" s="1419" t="s">
        <v>22</v>
      </c>
      <c r="D98" s="1221"/>
      <c r="E98" s="404">
        <f>+③基本情報入力【例】!T54</f>
        <v>1</v>
      </c>
      <c r="F98" s="78" t="s">
        <v>3</v>
      </c>
      <c r="G98" s="79" t="s">
        <v>11</v>
      </c>
      <c r="H98" s="79" t="s">
        <v>245</v>
      </c>
      <c r="I98" s="80">
        <f>K98*(1-O98)*(P98+P98/((P98+1)^Q98-1))</f>
        <v>3.6059857602637799</v>
      </c>
      <c r="J98" s="72" t="s">
        <v>124</v>
      </c>
      <c r="K98" s="70">
        <f>22.7*M98^0.444*E98</f>
        <v>63.6567311710821</v>
      </c>
      <c r="L98" s="79" t="s">
        <v>120</v>
      </c>
      <c r="M98" s="80">
        <f>IFERROR('計算条件（既存）【例】'!H25/E98,0)</f>
        <v>10.199999999999999</v>
      </c>
      <c r="N98" s="1221" t="s">
        <v>243</v>
      </c>
      <c r="O98" s="81">
        <f>+③基本情報入力【例】!$Y$61</f>
        <v>0.1</v>
      </c>
      <c r="P98" s="82">
        <f>+③基本情報入力【例】!$AB$61</f>
        <v>2.3E-2</v>
      </c>
      <c r="Q98" s="83">
        <f>+③基本情報入力【例】!$AE$61</f>
        <v>20</v>
      </c>
      <c r="R98" s="72" t="s">
        <v>244</v>
      </c>
    </row>
    <row r="99" spans="1:19" ht="15.75">
      <c r="B99" s="1417"/>
      <c r="C99" s="1419"/>
      <c r="D99" s="1221"/>
      <c r="E99" s="404">
        <v>0</v>
      </c>
      <c r="F99" s="78" t="s">
        <v>8</v>
      </c>
      <c r="G99" s="79" t="s">
        <v>11</v>
      </c>
      <c r="H99" s="79" t="s">
        <v>295</v>
      </c>
      <c r="I99" s="80">
        <f>K99*(1-O99)*(P99+P99/((P99+1)^Q99-1))</f>
        <v>0</v>
      </c>
      <c r="J99" s="72" t="s">
        <v>124</v>
      </c>
      <c r="K99" s="70">
        <f>43.4*M99^0.373*E99</f>
        <v>0</v>
      </c>
      <c r="L99" s="79" t="s">
        <v>120</v>
      </c>
      <c r="M99" s="80">
        <f>+M98</f>
        <v>10.199999999999999</v>
      </c>
      <c r="N99" s="1221"/>
      <c r="O99" s="81">
        <f>+③基本情報入力【例】!$Y$63</f>
        <v>0.1</v>
      </c>
      <c r="P99" s="84">
        <f>+③基本情報入力【例】!$AB$63</f>
        <v>2.3E-2</v>
      </c>
      <c r="Q99" s="83">
        <f>+③基本情報入力【例】!$AE$63</f>
        <v>40</v>
      </c>
      <c r="R99" s="72" t="s">
        <v>244</v>
      </c>
    </row>
    <row r="100" spans="1:19" ht="15.75">
      <c r="B100" s="1417"/>
      <c r="C100" s="384" t="s">
        <v>246</v>
      </c>
      <c r="D100" s="72"/>
      <c r="E100" s="404">
        <f>+③基本情報入力【例】!T53</f>
        <v>1</v>
      </c>
      <c r="F100" s="384" t="s">
        <v>4</v>
      </c>
      <c r="G100" s="79" t="s">
        <v>11</v>
      </c>
      <c r="H100" s="72" t="s">
        <v>292</v>
      </c>
      <c r="I100" s="80">
        <f>K100*(1-O100)*(P100+P100/((P100+1)^Q100-1))</f>
        <v>3.7451816104105804</v>
      </c>
      <c r="J100" s="72" t="s">
        <v>124</v>
      </c>
      <c r="K100" s="69">
        <f>17.8*M100^0.464*E100</f>
        <v>52.289017548768754</v>
      </c>
      <c r="L100" s="72" t="s">
        <v>120</v>
      </c>
      <c r="M100" s="80">
        <f>IFERROR('計算条件（既存）【例】'!H25/E100,0)</f>
        <v>10.199999999999999</v>
      </c>
      <c r="N100" s="385" t="s">
        <v>243</v>
      </c>
      <c r="O100" s="81">
        <f>+③基本情報入力【例】!$Y$62</f>
        <v>0.1</v>
      </c>
      <c r="P100" s="84">
        <f>+③基本情報入力【例】!$AB$62</f>
        <v>2.3E-2</v>
      </c>
      <c r="Q100" s="83">
        <f>+③基本情報入力【例】!$AE$62</f>
        <v>15</v>
      </c>
      <c r="R100" s="72" t="s">
        <v>247</v>
      </c>
    </row>
    <row r="101" spans="1:19" ht="15.75">
      <c r="B101" s="1417"/>
      <c r="C101" s="1407" t="s">
        <v>18</v>
      </c>
      <c r="D101" s="1408" t="s">
        <v>249</v>
      </c>
      <c r="E101" s="404">
        <f>+③基本情報入力【例】!T55</f>
        <v>0</v>
      </c>
      <c r="F101" s="384" t="s">
        <v>3</v>
      </c>
      <c r="G101" s="79" t="s">
        <v>11</v>
      </c>
      <c r="H101" s="72" t="s">
        <v>134</v>
      </c>
      <c r="I101" s="80">
        <f t="shared" ref="I101:I110" si="3">K101*(1-O101)*(P101+P101/((P101+1)^Q101-1))</f>
        <v>0</v>
      </c>
      <c r="J101" s="72" t="s">
        <v>124</v>
      </c>
      <c r="K101" s="69">
        <f>124*(M101/500)^0.6*E101</f>
        <v>0</v>
      </c>
      <c r="L101" s="72" t="s">
        <v>120</v>
      </c>
      <c r="M101" s="146">
        <f>IFERROR(ROUNDUP('物質収支（既存）【例】'!L10*25,-1)/E101,0)</f>
        <v>0</v>
      </c>
      <c r="N101" s="385" t="s">
        <v>1</v>
      </c>
      <c r="O101" s="81">
        <f>+③基本情報入力【例】!$Y$61</f>
        <v>0.1</v>
      </c>
      <c r="P101" s="82">
        <f>+③基本情報入力【例】!$AB$61</f>
        <v>2.3E-2</v>
      </c>
      <c r="Q101" s="83">
        <f>+③基本情報入力【例】!$AE$61</f>
        <v>20</v>
      </c>
      <c r="R101" s="72" t="s">
        <v>250</v>
      </c>
    </row>
    <row r="102" spans="1:19" ht="15.75">
      <c r="B102" s="1417"/>
      <c r="C102" s="1407"/>
      <c r="D102" s="1408"/>
      <c r="E102" s="407">
        <v>0</v>
      </c>
      <c r="F102" s="384" t="s">
        <v>8</v>
      </c>
      <c r="G102" s="79" t="s">
        <v>11</v>
      </c>
      <c r="H102" s="72" t="s">
        <v>135</v>
      </c>
      <c r="I102" s="80">
        <f t="shared" si="3"/>
        <v>0</v>
      </c>
      <c r="J102" s="72" t="s">
        <v>124</v>
      </c>
      <c r="K102" s="69">
        <f>44.1*(M102/500)^0.6*E102</f>
        <v>0</v>
      </c>
      <c r="L102" s="72" t="s">
        <v>120</v>
      </c>
      <c r="M102" s="146">
        <f>+M101</f>
        <v>0</v>
      </c>
      <c r="N102" s="385" t="s">
        <v>1</v>
      </c>
      <c r="O102" s="81">
        <f>+③基本情報入力【例】!$Y$63</f>
        <v>0.1</v>
      </c>
      <c r="P102" s="84">
        <f>+③基本情報入力【例】!$AB$63</f>
        <v>2.3E-2</v>
      </c>
      <c r="Q102" s="83">
        <f>+③基本情報入力【例】!$AE$63</f>
        <v>40</v>
      </c>
      <c r="R102" s="86"/>
    </row>
    <row r="103" spans="1:19" ht="15.75">
      <c r="B103" s="1417"/>
      <c r="C103" s="384" t="s">
        <v>9</v>
      </c>
      <c r="D103" s="72"/>
      <c r="E103" s="404">
        <f>+③基本情報入力【例】!T55</f>
        <v>0</v>
      </c>
      <c r="F103" s="384" t="s">
        <v>3</v>
      </c>
      <c r="G103" s="79" t="s">
        <v>11</v>
      </c>
      <c r="H103" s="72" t="s">
        <v>300</v>
      </c>
      <c r="I103" s="80">
        <f t="shared" si="3"/>
        <v>0</v>
      </c>
      <c r="J103" s="72" t="s">
        <v>124</v>
      </c>
      <c r="K103" s="69">
        <f>10.4*M103^0.437*E103</f>
        <v>0</v>
      </c>
      <c r="L103" s="72" t="s">
        <v>120</v>
      </c>
      <c r="M103" s="146">
        <f>IFERROR(ROUNDUP('物質収支（既存）【例】'!L84/2,-1)/E103,0)</f>
        <v>0</v>
      </c>
      <c r="N103" s="385" t="s">
        <v>1</v>
      </c>
      <c r="O103" s="81">
        <f>+③基本情報入力【例】!$Y$61</f>
        <v>0.1</v>
      </c>
      <c r="P103" s="82">
        <f>+③基本情報入力【例】!$AB$61</f>
        <v>2.3E-2</v>
      </c>
      <c r="Q103" s="83">
        <f>+③基本情報入力【例】!$AE$61</f>
        <v>20</v>
      </c>
      <c r="R103" s="74" t="s">
        <v>251</v>
      </c>
    </row>
    <row r="104" spans="1:19" ht="15.75">
      <c r="B104" s="1417"/>
      <c r="C104" s="384" t="s">
        <v>16</v>
      </c>
      <c r="D104" s="72"/>
      <c r="E104" s="404">
        <f>+③基本情報入力【例】!T55</f>
        <v>0</v>
      </c>
      <c r="F104" s="384" t="s">
        <v>3</v>
      </c>
      <c r="G104" s="79" t="s">
        <v>11</v>
      </c>
      <c r="H104" s="72" t="s">
        <v>299</v>
      </c>
      <c r="I104" s="80">
        <f t="shared" si="3"/>
        <v>0</v>
      </c>
      <c r="J104" s="72" t="s">
        <v>124</v>
      </c>
      <c r="K104" s="69">
        <f>0.878*M104^0.761*E104</f>
        <v>0</v>
      </c>
      <c r="L104" s="72" t="s">
        <v>120</v>
      </c>
      <c r="M104" s="146">
        <f>IFERROR(ROUNDUP('物質収支（既存）【例】'!L84/24,0)/E104,0)</f>
        <v>0</v>
      </c>
      <c r="N104" s="385" t="s">
        <v>298</v>
      </c>
      <c r="O104" s="81">
        <f>+③基本情報入力【例】!$Y$61</f>
        <v>0.1</v>
      </c>
      <c r="P104" s="82">
        <f>+③基本情報入力【例】!$AB$61</f>
        <v>2.3E-2</v>
      </c>
      <c r="Q104" s="83">
        <f>+③基本情報入力【例】!$AE$61</f>
        <v>20</v>
      </c>
      <c r="R104" s="74" t="s">
        <v>252</v>
      </c>
    </row>
    <row r="105" spans="1:19" ht="15.75">
      <c r="A105" s="58"/>
      <c r="B105" s="1417"/>
      <c r="C105" s="1409" t="s">
        <v>10</v>
      </c>
      <c r="D105" s="1412"/>
      <c r="E105" s="404">
        <f>+③基本情報入力【例】!T56</f>
        <v>0</v>
      </c>
      <c r="F105" s="384" t="s">
        <v>3</v>
      </c>
      <c r="G105" s="79" t="s">
        <v>11</v>
      </c>
      <c r="H105" s="72" t="s">
        <v>297</v>
      </c>
      <c r="I105" s="80">
        <f t="shared" si="3"/>
        <v>0</v>
      </c>
      <c r="J105" s="72" t="s">
        <v>124</v>
      </c>
      <c r="K105" s="69">
        <f>31.9*M105^0.971*E105</f>
        <v>0</v>
      </c>
      <c r="L105" s="72" t="s">
        <v>120</v>
      </c>
      <c r="M105" s="222">
        <f>IFERROR('物質収支（既存）【例】'!L41/E105,0)</f>
        <v>0</v>
      </c>
      <c r="N105" s="385" t="s">
        <v>0</v>
      </c>
      <c r="O105" s="81">
        <f>+③基本情報入力【例】!$Y$61</f>
        <v>0.1</v>
      </c>
      <c r="P105" s="82">
        <f>+③基本情報入力【例】!$AB$61</f>
        <v>2.3E-2</v>
      </c>
      <c r="Q105" s="83">
        <f>+③基本情報入力【例】!$AE$61</f>
        <v>20</v>
      </c>
      <c r="R105" s="72" t="s">
        <v>253</v>
      </c>
    </row>
    <row r="106" spans="1:19" ht="15.75" customHeight="1">
      <c r="A106" s="58"/>
      <c r="B106" s="1417"/>
      <c r="C106" s="1410"/>
      <c r="D106" s="1413"/>
      <c r="E106" s="404">
        <f>+③基本情報入力【例】!T56</f>
        <v>0</v>
      </c>
      <c r="F106" s="384" t="s">
        <v>4</v>
      </c>
      <c r="G106" s="79" t="s">
        <v>11</v>
      </c>
      <c r="H106" s="72" t="s">
        <v>136</v>
      </c>
      <c r="I106" s="80">
        <f t="shared" si="3"/>
        <v>0</v>
      </c>
      <c r="J106" s="72" t="s">
        <v>124</v>
      </c>
      <c r="K106" s="69">
        <f>6.59*M106^0.809*E106</f>
        <v>0</v>
      </c>
      <c r="L106" s="72" t="s">
        <v>120</v>
      </c>
      <c r="M106" s="222">
        <f>+M105</f>
        <v>0</v>
      </c>
      <c r="N106" s="385" t="s">
        <v>0</v>
      </c>
      <c r="O106" s="81">
        <f>+③基本情報入力【例】!$Y$62</f>
        <v>0.1</v>
      </c>
      <c r="P106" s="84">
        <f>+③基本情報入力【例】!$AB$62</f>
        <v>2.3E-2</v>
      </c>
      <c r="Q106" s="83">
        <f>+③基本情報入力【例】!$AE$62</f>
        <v>15</v>
      </c>
      <c r="R106" s="72"/>
    </row>
    <row r="107" spans="1:19" ht="15.75">
      <c r="A107" s="58"/>
      <c r="B107" s="1417"/>
      <c r="C107" s="1411"/>
      <c r="D107" s="1414"/>
      <c r="E107" s="407">
        <v>0</v>
      </c>
      <c r="F107" s="384" t="s">
        <v>5</v>
      </c>
      <c r="G107" s="79" t="s">
        <v>11</v>
      </c>
      <c r="H107" s="72" t="s">
        <v>137</v>
      </c>
      <c r="I107" s="80">
        <f t="shared" si="3"/>
        <v>0</v>
      </c>
      <c r="J107" s="72" t="s">
        <v>124</v>
      </c>
      <c r="K107" s="69">
        <f>12.3*M107^0.941*E107</f>
        <v>0</v>
      </c>
      <c r="L107" s="72" t="s">
        <v>120</v>
      </c>
      <c r="M107" s="222">
        <f>+M105</f>
        <v>0</v>
      </c>
      <c r="N107" s="385" t="s">
        <v>0</v>
      </c>
      <c r="O107" s="81">
        <f>+③基本情報入力【例】!$Y$63</f>
        <v>0.1</v>
      </c>
      <c r="P107" s="84">
        <f>+③基本情報入力【例】!$AB$63</f>
        <v>2.3E-2</v>
      </c>
      <c r="Q107" s="83">
        <f>+③基本情報入力【例】!$AE$63</f>
        <v>40</v>
      </c>
      <c r="R107" s="72"/>
    </row>
    <row r="108" spans="1:19" ht="15.75">
      <c r="A108" s="58"/>
      <c r="B108" s="1417"/>
      <c r="C108" s="1423" t="s">
        <v>310</v>
      </c>
      <c r="D108" s="1347"/>
      <c r="E108" s="404">
        <f>+③基本情報入力【例】!T57</f>
        <v>0</v>
      </c>
      <c r="F108" s="384" t="s">
        <v>3</v>
      </c>
      <c r="G108" s="144" t="s">
        <v>11</v>
      </c>
      <c r="H108" s="72" t="s">
        <v>317</v>
      </c>
      <c r="I108" s="94">
        <f t="shared" si="3"/>
        <v>0</v>
      </c>
      <c r="J108" s="97" t="s">
        <v>124</v>
      </c>
      <c r="K108" s="69">
        <f>188.8*M108^0.597*E108</f>
        <v>0</v>
      </c>
      <c r="L108" s="97" t="s">
        <v>120</v>
      </c>
      <c r="M108" s="222">
        <f>IFERROR('物質収支（既存）【例】'!L41/E108,0)</f>
        <v>0</v>
      </c>
      <c r="N108" s="387" t="s">
        <v>0</v>
      </c>
      <c r="O108" s="81">
        <f>+③基本情報入力【例】!$Y$61</f>
        <v>0.1</v>
      </c>
      <c r="P108" s="82">
        <f>+③基本情報入力【例】!$AB$61</f>
        <v>2.3E-2</v>
      </c>
      <c r="Q108" s="83">
        <f>+③基本情報入力【例】!$AE$61</f>
        <v>20</v>
      </c>
      <c r="R108" s="72" t="s">
        <v>316</v>
      </c>
    </row>
    <row r="109" spans="1:19" ht="15.75">
      <c r="A109" s="58"/>
      <c r="B109" s="1417"/>
      <c r="C109" s="1424"/>
      <c r="D109" s="1348"/>
      <c r="E109" s="404">
        <f>+③基本情報入力【例】!T57</f>
        <v>0</v>
      </c>
      <c r="F109" s="384" t="s">
        <v>4</v>
      </c>
      <c r="G109" s="144" t="s">
        <v>11</v>
      </c>
      <c r="H109" s="72" t="s">
        <v>315</v>
      </c>
      <c r="I109" s="94">
        <f t="shared" si="3"/>
        <v>0</v>
      </c>
      <c r="J109" s="97" t="s">
        <v>124</v>
      </c>
      <c r="K109" s="69">
        <f>72.6*M109^0.539*E109</f>
        <v>0</v>
      </c>
      <c r="L109" s="97" t="s">
        <v>120</v>
      </c>
      <c r="M109" s="222">
        <f>+M108</f>
        <v>0</v>
      </c>
      <c r="N109" s="387" t="s">
        <v>0</v>
      </c>
      <c r="O109" s="81">
        <f>+③基本情報入力【例】!$Y$62</f>
        <v>0.1</v>
      </c>
      <c r="P109" s="84">
        <f>+③基本情報入力【例】!$AB$62</f>
        <v>2.3E-2</v>
      </c>
      <c r="Q109" s="83">
        <f>+③基本情報入力【例】!$AE$62</f>
        <v>15</v>
      </c>
      <c r="R109" s="72"/>
    </row>
    <row r="110" spans="1:19" ht="16.5" thickBot="1">
      <c r="A110" s="58"/>
      <c r="B110" s="1417"/>
      <c r="C110" s="1425"/>
      <c r="D110" s="1426"/>
      <c r="E110" s="116">
        <v>0</v>
      </c>
      <c r="F110" s="390" t="s">
        <v>8</v>
      </c>
      <c r="G110" s="87" t="s">
        <v>11</v>
      </c>
      <c r="H110" s="88" t="s">
        <v>314</v>
      </c>
      <c r="I110" s="89">
        <f t="shared" si="3"/>
        <v>0</v>
      </c>
      <c r="J110" s="88" t="s">
        <v>124</v>
      </c>
      <c r="K110" s="90">
        <f>136.1*M110^0.38*E110</f>
        <v>0</v>
      </c>
      <c r="L110" s="88" t="s">
        <v>120</v>
      </c>
      <c r="M110" s="224">
        <f>+M108</f>
        <v>0</v>
      </c>
      <c r="N110" s="389" t="s">
        <v>0</v>
      </c>
      <c r="O110" s="91">
        <f>+③基本情報入力【例】!$Y$63</f>
        <v>0.1</v>
      </c>
      <c r="P110" s="92">
        <f>+③基本情報入力【例】!$AB$63</f>
        <v>2.3E-2</v>
      </c>
      <c r="Q110" s="93">
        <f>+③基本情報入力【例】!$AE$63</f>
        <v>40</v>
      </c>
      <c r="R110" s="88"/>
    </row>
    <row r="111" spans="1:19" ht="14.25" thickTop="1">
      <c r="B111" s="1418"/>
      <c r="C111" s="1434" t="s">
        <v>259</v>
      </c>
      <c r="D111" s="1434"/>
      <c r="E111" s="1434"/>
      <c r="F111" s="1434"/>
      <c r="G111" s="1434"/>
      <c r="H111" s="1434"/>
      <c r="I111" s="109">
        <f>SUM(I96:I110)</f>
        <v>7.657861649468833</v>
      </c>
      <c r="J111" s="112" t="s">
        <v>124</v>
      </c>
      <c r="K111" s="111">
        <f>SUM(K96:K110)</f>
        <v>121.35984532335506</v>
      </c>
      <c r="L111" s="112" t="s">
        <v>120</v>
      </c>
      <c r="M111" s="120"/>
      <c r="N111" s="121"/>
      <c r="O111" s="122"/>
      <c r="P111" s="123"/>
      <c r="Q111" s="124"/>
      <c r="R111" s="124"/>
      <c r="S111" s="101"/>
    </row>
    <row r="112" spans="1:19">
      <c r="B112" s="381" t="s">
        <v>260</v>
      </c>
      <c r="C112" s="380" t="s">
        <v>231</v>
      </c>
      <c r="D112" s="380" t="s">
        <v>232</v>
      </c>
      <c r="E112" s="380" t="s">
        <v>233</v>
      </c>
      <c r="F112" s="380" t="s">
        <v>273</v>
      </c>
      <c r="G112" s="1432" t="s">
        <v>235</v>
      </c>
      <c r="H112" s="1432"/>
      <c r="I112" s="1432" t="s">
        <v>237</v>
      </c>
      <c r="J112" s="1432"/>
      <c r="K112" s="1433" t="s">
        <v>291</v>
      </c>
      <c r="L112" s="1433"/>
      <c r="M112" s="1432" t="s">
        <v>97</v>
      </c>
      <c r="N112" s="1432"/>
      <c r="O112" s="1432"/>
      <c r="P112" s="1432"/>
      <c r="Q112" s="1432"/>
      <c r="R112" s="1432"/>
    </row>
    <row r="113" spans="1:18" ht="15.75">
      <c r="B113" s="1435"/>
      <c r="C113" s="384" t="s">
        <v>241</v>
      </c>
      <c r="D113" s="385" t="s">
        <v>242</v>
      </c>
      <c r="E113" s="404">
        <f>+③基本情報入力【例】!T53</f>
        <v>1</v>
      </c>
      <c r="F113" s="78" t="s">
        <v>262</v>
      </c>
      <c r="G113" s="79" t="s">
        <v>11</v>
      </c>
      <c r="H113" s="72" t="s">
        <v>290</v>
      </c>
      <c r="I113" s="80">
        <f>0.03*K113^0.628*E113</f>
        <v>0.11502608541510088</v>
      </c>
      <c r="J113" s="72" t="s">
        <v>124</v>
      </c>
      <c r="K113" s="80">
        <f>IFERROR('計算条件（既存）【例】'!G25/E113,0)</f>
        <v>8.5</v>
      </c>
      <c r="L113" s="385" t="s">
        <v>243</v>
      </c>
      <c r="M113" s="1217" t="s">
        <v>263</v>
      </c>
      <c r="N113" s="1218"/>
      <c r="O113" s="1218"/>
      <c r="P113" s="1218"/>
      <c r="Q113" s="1218"/>
      <c r="R113" s="1422"/>
    </row>
    <row r="114" spans="1:18" ht="15.75">
      <c r="B114" s="1435"/>
      <c r="C114" s="384" t="s">
        <v>22</v>
      </c>
      <c r="D114" s="385"/>
      <c r="E114" s="404">
        <f>+③基本情報入力【例】!T54</f>
        <v>1</v>
      </c>
      <c r="F114" s="78" t="s">
        <v>308</v>
      </c>
      <c r="G114" s="79" t="s">
        <v>11</v>
      </c>
      <c r="H114" s="72" t="s">
        <v>142</v>
      </c>
      <c r="I114" s="80">
        <f>0.039*K114^0.596*E114</f>
        <v>4.7002919477360781</v>
      </c>
      <c r="J114" s="72" t="s">
        <v>124</v>
      </c>
      <c r="K114" s="80">
        <f>IFERROR('計算条件（既存）【例】'!G25*365/E114,0)</f>
        <v>3102.5</v>
      </c>
      <c r="L114" s="385" t="s">
        <v>265</v>
      </c>
      <c r="M114" s="1217" t="s">
        <v>266</v>
      </c>
      <c r="N114" s="1218"/>
      <c r="O114" s="1218"/>
      <c r="P114" s="1218"/>
      <c r="Q114" s="1218"/>
      <c r="R114" s="1422"/>
    </row>
    <row r="115" spans="1:18" ht="15.75">
      <c r="B115" s="1435"/>
      <c r="C115" s="384" t="s">
        <v>246</v>
      </c>
      <c r="D115" s="72"/>
      <c r="E115" s="404">
        <f>+③基本情報入力【例】!T53</f>
        <v>1</v>
      </c>
      <c r="F115" s="384" t="s">
        <v>267</v>
      </c>
      <c r="G115" s="79" t="s">
        <v>11</v>
      </c>
      <c r="H115" s="72" t="s">
        <v>141</v>
      </c>
      <c r="I115" s="80">
        <f>0.0024*K115^0.533*E115</f>
        <v>0.17429849046934351</v>
      </c>
      <c r="J115" s="72" t="s">
        <v>124</v>
      </c>
      <c r="K115" s="80">
        <f>IFERROR('計算条件（既存）【例】'!G25*365/E115,0)</f>
        <v>3102.5</v>
      </c>
      <c r="L115" s="385" t="s">
        <v>265</v>
      </c>
      <c r="M115" s="1217" t="s">
        <v>266</v>
      </c>
      <c r="N115" s="1218"/>
      <c r="O115" s="1218"/>
      <c r="P115" s="1218"/>
      <c r="Q115" s="1218"/>
      <c r="R115" s="1422"/>
    </row>
    <row r="116" spans="1:18" ht="15.75">
      <c r="B116" s="1435"/>
      <c r="C116" s="402" t="s">
        <v>18</v>
      </c>
      <c r="D116" s="403" t="s">
        <v>249</v>
      </c>
      <c r="E116" s="404">
        <f>+③基本情報入力【例】!T55</f>
        <v>0</v>
      </c>
      <c r="F116" s="384" t="s">
        <v>17</v>
      </c>
      <c r="G116" s="79" t="s">
        <v>11</v>
      </c>
      <c r="H116" s="72" t="s">
        <v>313</v>
      </c>
      <c r="I116" s="85">
        <f>0.171*(K116)^0.39*E116</f>
        <v>0</v>
      </c>
      <c r="J116" s="72" t="s">
        <v>124</v>
      </c>
      <c r="K116" s="146">
        <f>IFERROR('計算条件（既存）【例】'!G25*365/E116,0)</f>
        <v>0</v>
      </c>
      <c r="L116" s="385" t="s">
        <v>265</v>
      </c>
      <c r="M116" s="1217" t="s">
        <v>266</v>
      </c>
      <c r="N116" s="1218"/>
      <c r="O116" s="1218"/>
      <c r="P116" s="1218"/>
      <c r="Q116" s="1218"/>
      <c r="R116" s="1422"/>
    </row>
    <row r="117" spans="1:18" ht="15.75">
      <c r="B117" s="1435"/>
      <c r="C117" s="402" t="s">
        <v>9</v>
      </c>
      <c r="D117" s="403"/>
      <c r="E117" s="404">
        <f>+③基本情報入力【例】!T55</f>
        <v>0</v>
      </c>
      <c r="F117" s="384" t="s">
        <v>13</v>
      </c>
      <c r="G117" s="79" t="s">
        <v>11</v>
      </c>
      <c r="H117" s="402" t="s">
        <v>312</v>
      </c>
      <c r="I117" s="85">
        <f>0.283*K117^0.302*E117</f>
        <v>0</v>
      </c>
      <c r="J117" s="72" t="s">
        <v>124</v>
      </c>
      <c r="K117" s="146">
        <f>IFERROR(ROUNDUP('物質収支（既存）【例】'!L84/2,-1)/E117,0)</f>
        <v>0</v>
      </c>
      <c r="L117" s="385" t="s">
        <v>1</v>
      </c>
      <c r="M117" s="1217" t="s">
        <v>251</v>
      </c>
      <c r="N117" s="1218"/>
      <c r="O117" s="1218"/>
      <c r="P117" s="1218"/>
      <c r="Q117" s="1218"/>
      <c r="R117" s="1422"/>
    </row>
    <row r="118" spans="1:18" ht="15.75">
      <c r="B118" s="1435"/>
      <c r="C118" s="402" t="s">
        <v>16</v>
      </c>
      <c r="D118" s="403"/>
      <c r="E118" s="404">
        <f>+③基本情報入力【例】!T55</f>
        <v>0</v>
      </c>
      <c r="F118" s="384" t="s">
        <v>13</v>
      </c>
      <c r="G118" s="79" t="s">
        <v>11</v>
      </c>
      <c r="H118" s="402" t="s">
        <v>311</v>
      </c>
      <c r="I118" s="85">
        <f>0.0796*K118^0.761*E118</f>
        <v>0</v>
      </c>
      <c r="J118" s="72" t="s">
        <v>124</v>
      </c>
      <c r="K118" s="146">
        <f>IFERROR(ROUNDUP('物質収支（既存）【例】'!L84/24,0)/E118,0)</f>
        <v>0</v>
      </c>
      <c r="L118" s="385" t="s">
        <v>298</v>
      </c>
      <c r="M118" s="1217" t="s">
        <v>252</v>
      </c>
      <c r="N118" s="1218"/>
      <c r="O118" s="1218"/>
      <c r="P118" s="1218"/>
      <c r="Q118" s="1218"/>
      <c r="R118" s="1422"/>
    </row>
    <row r="119" spans="1:18" ht="15.75">
      <c r="B119" s="1435"/>
      <c r="C119" s="402" t="s">
        <v>10</v>
      </c>
      <c r="D119" s="403"/>
      <c r="E119" s="404">
        <f>+③基本情報入力【例】!T56</f>
        <v>0</v>
      </c>
      <c r="F119" s="384" t="s">
        <v>17</v>
      </c>
      <c r="G119" s="79" t="s">
        <v>11</v>
      </c>
      <c r="H119" s="72" t="s">
        <v>140</v>
      </c>
      <c r="I119" s="85">
        <f>0.362*K119^0.585*E119</f>
        <v>0</v>
      </c>
      <c r="J119" s="72" t="s">
        <v>124</v>
      </c>
      <c r="K119" s="222">
        <f>IFERROR('物質収支（既存）【例】'!L41*365/E119,0)</f>
        <v>0</v>
      </c>
      <c r="L119" s="385" t="s">
        <v>562</v>
      </c>
      <c r="M119" s="1217" t="s">
        <v>268</v>
      </c>
      <c r="N119" s="1218"/>
      <c r="O119" s="1218"/>
      <c r="P119" s="1218"/>
      <c r="Q119" s="1218"/>
      <c r="R119" s="1422"/>
    </row>
    <row r="120" spans="1:18" ht="16.5" thickBot="1">
      <c r="B120" s="1435"/>
      <c r="C120" s="390" t="s">
        <v>310</v>
      </c>
      <c r="D120" s="389"/>
      <c r="E120" s="116">
        <f>+③基本情報入力【例】!T57</f>
        <v>0</v>
      </c>
      <c r="F120" s="390" t="s">
        <v>264</v>
      </c>
      <c r="G120" s="87" t="s">
        <v>11</v>
      </c>
      <c r="H120" s="88" t="s">
        <v>351</v>
      </c>
      <c r="I120" s="272">
        <f>0.287*K120^0.673*E120</f>
        <v>0</v>
      </c>
      <c r="J120" s="88" t="s">
        <v>124</v>
      </c>
      <c r="K120" s="224">
        <f>IFERROR('物質収支（既存）【例】'!L41*365/E120,0)</f>
        <v>0</v>
      </c>
      <c r="L120" s="389" t="s">
        <v>562</v>
      </c>
      <c r="M120" s="1437" t="s">
        <v>309</v>
      </c>
      <c r="N120" s="1438"/>
      <c r="O120" s="1438"/>
      <c r="P120" s="1438"/>
      <c r="Q120" s="1438"/>
      <c r="R120" s="1439"/>
    </row>
    <row r="121" spans="1:18" ht="14.25" thickTop="1">
      <c r="B121" s="1436"/>
      <c r="C121" s="1427" t="s">
        <v>259</v>
      </c>
      <c r="D121" s="1428"/>
      <c r="E121" s="1428"/>
      <c r="F121" s="1428"/>
      <c r="G121" s="1428"/>
      <c r="H121" s="1429"/>
      <c r="I121" s="109">
        <f>SUM(I113:I120)</f>
        <v>4.9896165236205228</v>
      </c>
      <c r="J121" s="112" t="s">
        <v>124</v>
      </c>
    </row>
    <row r="123" spans="1:18">
      <c r="A123" s="58"/>
      <c r="B123" s="148" t="str">
        <f>+③基本情報入力【例】!Y51</f>
        <v>⑤</v>
      </c>
      <c r="C123" s="58" t="str">
        <f>+③基本情報入力【例】!Y52</f>
        <v>C町東浄化センター</v>
      </c>
    </row>
    <row r="124" spans="1:18">
      <c r="B124" s="398" t="s">
        <v>230</v>
      </c>
      <c r="C124" s="383" t="s">
        <v>231</v>
      </c>
      <c r="D124" s="383" t="s">
        <v>232</v>
      </c>
      <c r="E124" s="383" t="s">
        <v>233</v>
      </c>
      <c r="F124" s="383" t="s">
        <v>23</v>
      </c>
      <c r="G124" s="1415" t="s">
        <v>235</v>
      </c>
      <c r="H124" s="1415"/>
      <c r="I124" s="1415" t="s">
        <v>236</v>
      </c>
      <c r="J124" s="1415"/>
      <c r="K124" s="1415" t="s">
        <v>237</v>
      </c>
      <c r="L124" s="1415"/>
      <c r="M124" s="1416" t="s">
        <v>291</v>
      </c>
      <c r="N124" s="1416"/>
      <c r="O124" s="77" t="s">
        <v>238</v>
      </c>
      <c r="P124" s="77" t="s">
        <v>239</v>
      </c>
      <c r="Q124" s="77" t="s">
        <v>240</v>
      </c>
      <c r="R124" s="383" t="s">
        <v>97</v>
      </c>
    </row>
    <row r="125" spans="1:18" ht="15.75">
      <c r="B125" s="1417"/>
      <c r="C125" s="1419" t="s">
        <v>241</v>
      </c>
      <c r="D125" s="1221" t="s">
        <v>242</v>
      </c>
      <c r="E125" s="404">
        <f>+③基本情報入力【例】!Y53</f>
        <v>1</v>
      </c>
      <c r="F125" s="78" t="s">
        <v>3</v>
      </c>
      <c r="G125" s="79" t="s">
        <v>11</v>
      </c>
      <c r="H125" s="79" t="s">
        <v>294</v>
      </c>
      <c r="I125" s="80">
        <f>K125*(1-O125)*(P125+P125/((P125+1)^Q125-1))</f>
        <v>2.6026901604477355E-2</v>
      </c>
      <c r="J125" s="72" t="s">
        <v>124</v>
      </c>
      <c r="K125" s="70">
        <f>1.31*M125^0.611*E125</f>
        <v>0.45945480342973549</v>
      </c>
      <c r="L125" s="79" t="s">
        <v>120</v>
      </c>
      <c r="M125" s="80">
        <f>IFERROR('計算条件（既存）【例】'!H31/E125,0)</f>
        <v>0.18</v>
      </c>
      <c r="N125" s="1221" t="s">
        <v>243</v>
      </c>
      <c r="O125" s="81">
        <f>+③基本情報入力【例】!$Y$61</f>
        <v>0.1</v>
      </c>
      <c r="P125" s="82">
        <f>+③基本情報入力【例】!$AB$61</f>
        <v>2.3E-2</v>
      </c>
      <c r="Q125" s="83">
        <f>+③基本情報入力【例】!$AE$61</f>
        <v>20</v>
      </c>
      <c r="R125" s="72" t="s">
        <v>244</v>
      </c>
    </row>
    <row r="126" spans="1:18" ht="15.75">
      <c r="B126" s="1417"/>
      <c r="C126" s="1419"/>
      <c r="D126" s="1221"/>
      <c r="E126" s="404">
        <v>0</v>
      </c>
      <c r="F126" s="78" t="s">
        <v>8</v>
      </c>
      <c r="G126" s="79" t="s">
        <v>11</v>
      </c>
      <c r="H126" s="79" t="s">
        <v>293</v>
      </c>
      <c r="I126" s="80">
        <f>K126*(1-O126)*(P126+P126/((P126+1)^Q126-1))</f>
        <v>0</v>
      </c>
      <c r="J126" s="72" t="s">
        <v>124</v>
      </c>
      <c r="K126" s="70">
        <f>1.24*M126^0.598*E126</f>
        <v>0</v>
      </c>
      <c r="L126" s="79" t="s">
        <v>120</v>
      </c>
      <c r="M126" s="80">
        <f>+M125</f>
        <v>0.18</v>
      </c>
      <c r="N126" s="1221"/>
      <c r="O126" s="81">
        <f>+③基本情報入力【例】!$Y$63</f>
        <v>0.1</v>
      </c>
      <c r="P126" s="84">
        <f>+③基本情報入力【例】!$AB$63</f>
        <v>2.3E-2</v>
      </c>
      <c r="Q126" s="83">
        <f>+③基本情報入力【例】!$AE$63</f>
        <v>40</v>
      </c>
      <c r="R126" s="72" t="s">
        <v>244</v>
      </c>
    </row>
    <row r="127" spans="1:18" ht="15.75">
      <c r="B127" s="1417"/>
      <c r="C127" s="1419" t="s">
        <v>22</v>
      </c>
      <c r="D127" s="1221"/>
      <c r="E127" s="404">
        <f>+③基本情報入力【例】!Y54</f>
        <v>0</v>
      </c>
      <c r="F127" s="78" t="s">
        <v>3</v>
      </c>
      <c r="G127" s="79" t="s">
        <v>11</v>
      </c>
      <c r="H127" s="79" t="s">
        <v>245</v>
      </c>
      <c r="I127" s="80">
        <f>K127*(1-O127)*(P127+P127/((P127+1)^Q127-1))</f>
        <v>0</v>
      </c>
      <c r="J127" s="72" t="s">
        <v>124</v>
      </c>
      <c r="K127" s="70">
        <f>22.7*M127^0.444*E127</f>
        <v>0</v>
      </c>
      <c r="L127" s="79" t="s">
        <v>120</v>
      </c>
      <c r="M127" s="80">
        <f>IFERROR('計算条件（既存）【例】'!H31/E127,0)</f>
        <v>0</v>
      </c>
      <c r="N127" s="1221" t="s">
        <v>243</v>
      </c>
      <c r="O127" s="81">
        <f>+③基本情報入力【例】!$Y$61</f>
        <v>0.1</v>
      </c>
      <c r="P127" s="82">
        <f>+③基本情報入力【例】!$AB$61</f>
        <v>2.3E-2</v>
      </c>
      <c r="Q127" s="83">
        <f>+③基本情報入力【例】!$AE$61</f>
        <v>20</v>
      </c>
      <c r="R127" s="72" t="s">
        <v>244</v>
      </c>
    </row>
    <row r="128" spans="1:18" ht="15.75">
      <c r="B128" s="1417"/>
      <c r="C128" s="1419"/>
      <c r="D128" s="1221"/>
      <c r="E128" s="404">
        <v>0</v>
      </c>
      <c r="F128" s="78" t="s">
        <v>8</v>
      </c>
      <c r="G128" s="79" t="s">
        <v>11</v>
      </c>
      <c r="H128" s="79" t="s">
        <v>295</v>
      </c>
      <c r="I128" s="80">
        <f>K128*(1-O128)*(P128+P128/((P128+1)^Q128-1))</f>
        <v>0</v>
      </c>
      <c r="J128" s="72" t="s">
        <v>124</v>
      </c>
      <c r="K128" s="70">
        <f>43.4*M128^0.373*E128</f>
        <v>0</v>
      </c>
      <c r="L128" s="79" t="s">
        <v>120</v>
      </c>
      <c r="M128" s="80">
        <f>+M127</f>
        <v>0</v>
      </c>
      <c r="N128" s="1221"/>
      <c r="O128" s="81">
        <f>+③基本情報入力【例】!$Y$63</f>
        <v>0.1</v>
      </c>
      <c r="P128" s="84">
        <f>+③基本情報入力【例】!$AB$63</f>
        <v>2.3E-2</v>
      </c>
      <c r="Q128" s="83">
        <f>+③基本情報入力【例】!$AE$63</f>
        <v>40</v>
      </c>
      <c r="R128" s="72" t="s">
        <v>244</v>
      </c>
    </row>
    <row r="129" spans="1:18" ht="15.75">
      <c r="B129" s="1417"/>
      <c r="C129" s="384" t="s">
        <v>246</v>
      </c>
      <c r="D129" s="72"/>
      <c r="E129" s="404">
        <f>+③基本情報入力【例】!Y53</f>
        <v>1</v>
      </c>
      <c r="F129" s="384" t="s">
        <v>4</v>
      </c>
      <c r="G129" s="79" t="s">
        <v>11</v>
      </c>
      <c r="H129" s="72" t="s">
        <v>292</v>
      </c>
      <c r="I129" s="80">
        <f>K129*(1-O129)*(P129+P129/((P129+1)^Q129-1))</f>
        <v>0.57534566461505443</v>
      </c>
      <c r="J129" s="72" t="s">
        <v>124</v>
      </c>
      <c r="K129" s="69">
        <f>17.8*M129^0.464*E129</f>
        <v>8.0327905781761277</v>
      </c>
      <c r="L129" s="72" t="s">
        <v>120</v>
      </c>
      <c r="M129" s="80">
        <f>IFERROR('計算条件（既存）【例】'!H31/E129,0)</f>
        <v>0.18</v>
      </c>
      <c r="N129" s="385" t="s">
        <v>243</v>
      </c>
      <c r="O129" s="81">
        <f>+③基本情報入力【例】!$Y$62</f>
        <v>0.1</v>
      </c>
      <c r="P129" s="84">
        <f>+③基本情報入力【例】!$AB$62</f>
        <v>2.3E-2</v>
      </c>
      <c r="Q129" s="83">
        <f>+③基本情報入力【例】!$AE$62</f>
        <v>15</v>
      </c>
      <c r="R129" s="72" t="s">
        <v>247</v>
      </c>
    </row>
    <row r="130" spans="1:18" ht="15.75">
      <c r="B130" s="1417"/>
      <c r="C130" s="1407" t="s">
        <v>18</v>
      </c>
      <c r="D130" s="1408" t="s">
        <v>249</v>
      </c>
      <c r="E130" s="404">
        <f>+③基本情報入力【例】!Y55</f>
        <v>0</v>
      </c>
      <c r="F130" s="384" t="s">
        <v>3</v>
      </c>
      <c r="G130" s="79" t="s">
        <v>11</v>
      </c>
      <c r="H130" s="72" t="s">
        <v>134</v>
      </c>
      <c r="I130" s="80">
        <f t="shared" ref="I130:I139" si="4">K130*(1-O130)*(P130+P130/((P130+1)^Q130-1))</f>
        <v>0</v>
      </c>
      <c r="J130" s="72" t="s">
        <v>124</v>
      </c>
      <c r="K130" s="69">
        <f>124*(M130/500)^0.6*E130</f>
        <v>0</v>
      </c>
      <c r="L130" s="72" t="s">
        <v>120</v>
      </c>
      <c r="M130" s="146">
        <f>IFERROR(ROUNDUP('物質収支（既存）【例】'!M10*25,-1)/E130,0)</f>
        <v>0</v>
      </c>
      <c r="N130" s="385" t="s">
        <v>1</v>
      </c>
      <c r="O130" s="81">
        <f>+③基本情報入力【例】!$Y$61</f>
        <v>0.1</v>
      </c>
      <c r="P130" s="82">
        <f>+③基本情報入力【例】!$AB$61</f>
        <v>2.3E-2</v>
      </c>
      <c r="Q130" s="83">
        <f>+③基本情報入力【例】!$AE$61</f>
        <v>20</v>
      </c>
      <c r="R130" s="72" t="s">
        <v>250</v>
      </c>
    </row>
    <row r="131" spans="1:18" ht="15.75">
      <c r="B131" s="1417"/>
      <c r="C131" s="1407"/>
      <c r="D131" s="1408"/>
      <c r="E131" s="407">
        <v>0</v>
      </c>
      <c r="F131" s="384" t="s">
        <v>8</v>
      </c>
      <c r="G131" s="79" t="s">
        <v>11</v>
      </c>
      <c r="H131" s="72" t="s">
        <v>135</v>
      </c>
      <c r="I131" s="80">
        <f t="shared" si="4"/>
        <v>0</v>
      </c>
      <c r="J131" s="72" t="s">
        <v>124</v>
      </c>
      <c r="K131" s="69">
        <f>44.1*(M131/500)^0.6*E131</f>
        <v>0</v>
      </c>
      <c r="L131" s="72" t="s">
        <v>120</v>
      </c>
      <c r="M131" s="146">
        <f>+M130</f>
        <v>0</v>
      </c>
      <c r="N131" s="385" t="s">
        <v>1</v>
      </c>
      <c r="O131" s="81">
        <f>+③基本情報入力【例】!$Y$63</f>
        <v>0.1</v>
      </c>
      <c r="P131" s="84">
        <f>+③基本情報入力【例】!$AB$63</f>
        <v>2.3E-2</v>
      </c>
      <c r="Q131" s="83">
        <f>+③基本情報入力【例】!$AE$63</f>
        <v>40</v>
      </c>
      <c r="R131" s="86"/>
    </row>
    <row r="132" spans="1:18" ht="15.75">
      <c r="B132" s="1417"/>
      <c r="C132" s="384" t="s">
        <v>9</v>
      </c>
      <c r="D132" s="72"/>
      <c r="E132" s="404">
        <f>+③基本情報入力【例】!Y55</f>
        <v>0</v>
      </c>
      <c r="F132" s="384" t="s">
        <v>3</v>
      </c>
      <c r="G132" s="79" t="s">
        <v>11</v>
      </c>
      <c r="H132" s="72" t="s">
        <v>300</v>
      </c>
      <c r="I132" s="80">
        <f t="shared" si="4"/>
        <v>0</v>
      </c>
      <c r="J132" s="72" t="s">
        <v>124</v>
      </c>
      <c r="K132" s="69">
        <f>10.4*M132^0.437*E132</f>
        <v>0</v>
      </c>
      <c r="L132" s="72" t="s">
        <v>120</v>
      </c>
      <c r="M132" s="146">
        <f>IFERROR(ROUNDUP('物質収支（既存）【例】'!M84/2,-1)/E132,0)</f>
        <v>0</v>
      </c>
      <c r="N132" s="385" t="s">
        <v>1</v>
      </c>
      <c r="O132" s="81">
        <f>+③基本情報入力【例】!$Y$61</f>
        <v>0.1</v>
      </c>
      <c r="P132" s="82">
        <f>+③基本情報入力【例】!$AB$61</f>
        <v>2.3E-2</v>
      </c>
      <c r="Q132" s="83">
        <f>+③基本情報入力【例】!$AE$61</f>
        <v>20</v>
      </c>
      <c r="R132" s="74" t="s">
        <v>251</v>
      </c>
    </row>
    <row r="133" spans="1:18" ht="15.75">
      <c r="B133" s="1417"/>
      <c r="C133" s="384" t="s">
        <v>16</v>
      </c>
      <c r="D133" s="72"/>
      <c r="E133" s="404">
        <f>+③基本情報入力【例】!Y55</f>
        <v>0</v>
      </c>
      <c r="F133" s="384" t="s">
        <v>3</v>
      </c>
      <c r="G133" s="79" t="s">
        <v>11</v>
      </c>
      <c r="H133" s="72" t="s">
        <v>299</v>
      </c>
      <c r="I133" s="80">
        <f t="shared" si="4"/>
        <v>0</v>
      </c>
      <c r="J133" s="72" t="s">
        <v>124</v>
      </c>
      <c r="K133" s="69">
        <f>0.878*M133^0.761*E133</f>
        <v>0</v>
      </c>
      <c r="L133" s="72" t="s">
        <v>120</v>
      </c>
      <c r="M133" s="146">
        <f>IFERROR(ROUNDUP('物質収支（既存）【例】'!M84/24,0)/E133,0)</f>
        <v>0</v>
      </c>
      <c r="N133" s="385" t="s">
        <v>298</v>
      </c>
      <c r="O133" s="81">
        <f>+③基本情報入力【例】!$Y$61</f>
        <v>0.1</v>
      </c>
      <c r="P133" s="82">
        <f>+③基本情報入力【例】!$AB$61</f>
        <v>2.3E-2</v>
      </c>
      <c r="Q133" s="83">
        <f>+③基本情報入力【例】!$AE$61</f>
        <v>20</v>
      </c>
      <c r="R133" s="74" t="s">
        <v>252</v>
      </c>
    </row>
    <row r="134" spans="1:18" ht="15.75">
      <c r="A134" s="58"/>
      <c r="B134" s="1417"/>
      <c r="C134" s="1409" t="s">
        <v>10</v>
      </c>
      <c r="D134" s="1412"/>
      <c r="E134" s="404">
        <f>+③基本情報入力【例】!Y56</f>
        <v>0</v>
      </c>
      <c r="F134" s="384" t="s">
        <v>3</v>
      </c>
      <c r="G134" s="79" t="s">
        <v>11</v>
      </c>
      <c r="H134" s="72" t="s">
        <v>297</v>
      </c>
      <c r="I134" s="80">
        <f t="shared" si="4"/>
        <v>0</v>
      </c>
      <c r="J134" s="72" t="s">
        <v>124</v>
      </c>
      <c r="K134" s="69">
        <f>31.9*M134^0.971*E134</f>
        <v>0</v>
      </c>
      <c r="L134" s="72" t="s">
        <v>120</v>
      </c>
      <c r="M134" s="222">
        <f>IFERROR('物質収支（既存）【例】'!M41/E134,0)</f>
        <v>0</v>
      </c>
      <c r="N134" s="385" t="s">
        <v>0</v>
      </c>
      <c r="O134" s="81">
        <f>+③基本情報入力【例】!$Y$61</f>
        <v>0.1</v>
      </c>
      <c r="P134" s="82">
        <f>+③基本情報入力【例】!$AB$61</f>
        <v>2.3E-2</v>
      </c>
      <c r="Q134" s="83">
        <f>+③基本情報入力【例】!$AE$61</f>
        <v>20</v>
      </c>
      <c r="R134" s="72" t="s">
        <v>253</v>
      </c>
    </row>
    <row r="135" spans="1:18" ht="15.75" customHeight="1">
      <c r="A135" s="58"/>
      <c r="B135" s="1417"/>
      <c r="C135" s="1410"/>
      <c r="D135" s="1413"/>
      <c r="E135" s="404">
        <f>+③基本情報入力【例】!Y56</f>
        <v>0</v>
      </c>
      <c r="F135" s="384" t="s">
        <v>4</v>
      </c>
      <c r="G135" s="79" t="s">
        <v>11</v>
      </c>
      <c r="H135" s="72" t="s">
        <v>136</v>
      </c>
      <c r="I135" s="80">
        <f t="shared" si="4"/>
        <v>0</v>
      </c>
      <c r="J135" s="72" t="s">
        <v>124</v>
      </c>
      <c r="K135" s="69">
        <f>6.59*M135^0.809*E135</f>
        <v>0</v>
      </c>
      <c r="L135" s="72" t="s">
        <v>120</v>
      </c>
      <c r="M135" s="222">
        <f>+M134</f>
        <v>0</v>
      </c>
      <c r="N135" s="385" t="s">
        <v>0</v>
      </c>
      <c r="O135" s="81">
        <f>+③基本情報入力【例】!$Y$62</f>
        <v>0.1</v>
      </c>
      <c r="P135" s="84">
        <f>+③基本情報入力【例】!$AB$62</f>
        <v>2.3E-2</v>
      </c>
      <c r="Q135" s="83">
        <f>+③基本情報入力【例】!$AE$62</f>
        <v>15</v>
      </c>
      <c r="R135" s="72"/>
    </row>
    <row r="136" spans="1:18" ht="15.75">
      <c r="A136" s="58"/>
      <c r="B136" s="1417"/>
      <c r="C136" s="1411"/>
      <c r="D136" s="1414"/>
      <c r="E136" s="407">
        <v>0</v>
      </c>
      <c r="F136" s="384" t="s">
        <v>5</v>
      </c>
      <c r="G136" s="79" t="s">
        <v>11</v>
      </c>
      <c r="H136" s="72" t="s">
        <v>137</v>
      </c>
      <c r="I136" s="80">
        <f t="shared" si="4"/>
        <v>0</v>
      </c>
      <c r="J136" s="72" t="s">
        <v>124</v>
      </c>
      <c r="K136" s="69">
        <f>12.3*M136^0.941*E136</f>
        <v>0</v>
      </c>
      <c r="L136" s="72" t="s">
        <v>120</v>
      </c>
      <c r="M136" s="222">
        <f>+M134</f>
        <v>0</v>
      </c>
      <c r="N136" s="385" t="s">
        <v>0</v>
      </c>
      <c r="O136" s="81">
        <f>+③基本情報入力【例】!$Y$63</f>
        <v>0.1</v>
      </c>
      <c r="P136" s="84">
        <f>+③基本情報入力【例】!$AB$63</f>
        <v>2.3E-2</v>
      </c>
      <c r="Q136" s="83">
        <f>+③基本情報入力【例】!$AE$63</f>
        <v>40</v>
      </c>
      <c r="R136" s="72"/>
    </row>
    <row r="137" spans="1:18" ht="15.75">
      <c r="A137" s="58"/>
      <c r="B137" s="1417"/>
      <c r="C137" s="1423" t="s">
        <v>310</v>
      </c>
      <c r="D137" s="1347"/>
      <c r="E137" s="404">
        <f>+③基本情報入力【例】!Y57</f>
        <v>0</v>
      </c>
      <c r="F137" s="384" t="s">
        <v>3</v>
      </c>
      <c r="G137" s="144" t="s">
        <v>11</v>
      </c>
      <c r="H137" s="72" t="s">
        <v>317</v>
      </c>
      <c r="I137" s="94">
        <f t="shared" si="4"/>
        <v>0</v>
      </c>
      <c r="J137" s="97" t="s">
        <v>124</v>
      </c>
      <c r="K137" s="69">
        <f>188.8*M137^0.597*E137</f>
        <v>0</v>
      </c>
      <c r="L137" s="97" t="s">
        <v>120</v>
      </c>
      <c r="M137" s="222">
        <f>IFERROR('物質収支（既存）【例】'!M41/E137,0)</f>
        <v>0</v>
      </c>
      <c r="N137" s="387" t="s">
        <v>0</v>
      </c>
      <c r="O137" s="81">
        <f>+③基本情報入力【例】!$Y$61</f>
        <v>0.1</v>
      </c>
      <c r="P137" s="82">
        <f>+③基本情報入力【例】!$AB$61</f>
        <v>2.3E-2</v>
      </c>
      <c r="Q137" s="83">
        <f>+③基本情報入力【例】!$AE$61</f>
        <v>20</v>
      </c>
      <c r="R137" s="72" t="s">
        <v>316</v>
      </c>
    </row>
    <row r="138" spans="1:18" ht="15.75">
      <c r="A138" s="58"/>
      <c r="B138" s="1417"/>
      <c r="C138" s="1424"/>
      <c r="D138" s="1348"/>
      <c r="E138" s="404">
        <f>+③基本情報入力【例】!Y57</f>
        <v>0</v>
      </c>
      <c r="F138" s="384" t="s">
        <v>4</v>
      </c>
      <c r="G138" s="144" t="s">
        <v>11</v>
      </c>
      <c r="H138" s="72" t="s">
        <v>315</v>
      </c>
      <c r="I138" s="94">
        <f t="shared" si="4"/>
        <v>0</v>
      </c>
      <c r="J138" s="97" t="s">
        <v>124</v>
      </c>
      <c r="K138" s="69">
        <f>72.6*M138^0.539*E138</f>
        <v>0</v>
      </c>
      <c r="L138" s="97" t="s">
        <v>120</v>
      </c>
      <c r="M138" s="222">
        <f>+M137</f>
        <v>0</v>
      </c>
      <c r="N138" s="387" t="s">
        <v>0</v>
      </c>
      <c r="O138" s="81">
        <f>+③基本情報入力【例】!$Y$62</f>
        <v>0.1</v>
      </c>
      <c r="P138" s="84">
        <f>+③基本情報入力【例】!$AB$62</f>
        <v>2.3E-2</v>
      </c>
      <c r="Q138" s="83">
        <f>+③基本情報入力【例】!$AE$62</f>
        <v>15</v>
      </c>
      <c r="R138" s="72"/>
    </row>
    <row r="139" spans="1:18" ht="16.5" thickBot="1">
      <c r="A139" s="58"/>
      <c r="B139" s="1417"/>
      <c r="C139" s="1425"/>
      <c r="D139" s="1426"/>
      <c r="E139" s="116">
        <v>0</v>
      </c>
      <c r="F139" s="390" t="s">
        <v>8</v>
      </c>
      <c r="G139" s="87" t="s">
        <v>11</v>
      </c>
      <c r="H139" s="88" t="s">
        <v>314</v>
      </c>
      <c r="I139" s="89">
        <f t="shared" si="4"/>
        <v>0</v>
      </c>
      <c r="J139" s="88" t="s">
        <v>124</v>
      </c>
      <c r="K139" s="90">
        <f>136.1*M139^0.38*E139</f>
        <v>0</v>
      </c>
      <c r="L139" s="88" t="s">
        <v>120</v>
      </c>
      <c r="M139" s="224">
        <f>+M137</f>
        <v>0</v>
      </c>
      <c r="N139" s="389" t="s">
        <v>0</v>
      </c>
      <c r="O139" s="91">
        <f>+③基本情報入力【例】!$Y$63</f>
        <v>0.1</v>
      </c>
      <c r="P139" s="92">
        <f>+③基本情報入力【例】!$AB$63</f>
        <v>2.3E-2</v>
      </c>
      <c r="Q139" s="93">
        <f>+③基本情報入力【例】!$AE$63</f>
        <v>40</v>
      </c>
      <c r="R139" s="88"/>
    </row>
    <row r="140" spans="1:18" ht="14.25" thickTop="1">
      <c r="B140" s="1418"/>
      <c r="C140" s="1434" t="s">
        <v>259</v>
      </c>
      <c r="D140" s="1434"/>
      <c r="E140" s="1434"/>
      <c r="F140" s="1434"/>
      <c r="G140" s="1434"/>
      <c r="H140" s="1434"/>
      <c r="I140" s="109">
        <f>SUM(I125:I139)</f>
        <v>0.60137256621953183</v>
      </c>
      <c r="J140" s="112" t="s">
        <v>124</v>
      </c>
      <c r="K140" s="111">
        <f>SUM(K125:K139)</f>
        <v>8.4922453816058638</v>
      </c>
      <c r="L140" s="112" t="s">
        <v>120</v>
      </c>
    </row>
    <row r="141" spans="1:18">
      <c r="B141" s="125" t="s">
        <v>260</v>
      </c>
      <c r="C141" s="380" t="s">
        <v>231</v>
      </c>
      <c r="D141" s="380" t="s">
        <v>232</v>
      </c>
      <c r="E141" s="380" t="s">
        <v>233</v>
      </c>
      <c r="F141" s="380" t="s">
        <v>273</v>
      </c>
      <c r="G141" s="1432" t="s">
        <v>235</v>
      </c>
      <c r="H141" s="1432"/>
      <c r="I141" s="1432" t="s">
        <v>237</v>
      </c>
      <c r="J141" s="1432"/>
      <c r="K141" s="1433" t="s">
        <v>291</v>
      </c>
      <c r="L141" s="1433"/>
      <c r="M141" s="1432" t="s">
        <v>97</v>
      </c>
      <c r="N141" s="1432"/>
      <c r="O141" s="1432"/>
      <c r="P141" s="1432"/>
      <c r="Q141" s="1432"/>
      <c r="R141" s="1432"/>
    </row>
    <row r="142" spans="1:18" ht="15.75">
      <c r="B142" s="1435"/>
      <c r="C142" s="384" t="s">
        <v>241</v>
      </c>
      <c r="D142" s="385" t="s">
        <v>242</v>
      </c>
      <c r="E142" s="404">
        <f>+③基本情報入力【例】!Y53</f>
        <v>1</v>
      </c>
      <c r="F142" s="78" t="s">
        <v>262</v>
      </c>
      <c r="G142" s="79" t="s">
        <v>11</v>
      </c>
      <c r="H142" s="72" t="s">
        <v>290</v>
      </c>
      <c r="I142" s="80">
        <f>0.03*K142^0.628*E142</f>
        <v>9.1139483995228334E-3</v>
      </c>
      <c r="J142" s="72" t="s">
        <v>124</v>
      </c>
      <c r="K142" s="80">
        <f>IFERROR('計算条件（既存）【例】'!G31/E142,0)</f>
        <v>0.15</v>
      </c>
      <c r="L142" s="385" t="s">
        <v>243</v>
      </c>
      <c r="M142" s="1217" t="s">
        <v>263</v>
      </c>
      <c r="N142" s="1218"/>
      <c r="O142" s="1218"/>
      <c r="P142" s="1218"/>
      <c r="Q142" s="1218"/>
      <c r="R142" s="1422"/>
    </row>
    <row r="143" spans="1:18" ht="15.75">
      <c r="B143" s="1435"/>
      <c r="C143" s="384" t="s">
        <v>22</v>
      </c>
      <c r="D143" s="385"/>
      <c r="E143" s="404">
        <f>+③基本情報入力【例】!Y54</f>
        <v>0</v>
      </c>
      <c r="F143" s="78" t="s">
        <v>308</v>
      </c>
      <c r="G143" s="79" t="s">
        <v>11</v>
      </c>
      <c r="H143" s="72" t="s">
        <v>142</v>
      </c>
      <c r="I143" s="80">
        <f>0.039*K143^0.596*E143</f>
        <v>0</v>
      </c>
      <c r="J143" s="72" t="s">
        <v>124</v>
      </c>
      <c r="K143" s="80">
        <f>IFERROR('計算条件（既存）【例】'!G31*365/E143,0)</f>
        <v>0</v>
      </c>
      <c r="L143" s="385" t="s">
        <v>265</v>
      </c>
      <c r="M143" s="1217" t="s">
        <v>266</v>
      </c>
      <c r="N143" s="1218"/>
      <c r="O143" s="1218"/>
      <c r="P143" s="1218"/>
      <c r="Q143" s="1218"/>
      <c r="R143" s="1422"/>
    </row>
    <row r="144" spans="1:18" ht="15.75">
      <c r="B144" s="1435"/>
      <c r="C144" s="384" t="s">
        <v>246</v>
      </c>
      <c r="D144" s="72"/>
      <c r="E144" s="404">
        <f>+③基本情報入力【例】!Y53</f>
        <v>1</v>
      </c>
      <c r="F144" s="384" t="s">
        <v>267</v>
      </c>
      <c r="G144" s="79" t="s">
        <v>11</v>
      </c>
      <c r="H144" s="72" t="s">
        <v>141</v>
      </c>
      <c r="I144" s="80">
        <f>0.0024*K144^0.533*E144</f>
        <v>2.0266090586042059E-2</v>
      </c>
      <c r="J144" s="72" t="s">
        <v>124</v>
      </c>
      <c r="K144" s="80">
        <f>IFERROR('計算条件（既存）【例】'!G31*365/E144,0)</f>
        <v>54.75</v>
      </c>
      <c r="L144" s="385" t="s">
        <v>265</v>
      </c>
      <c r="M144" s="1217" t="s">
        <v>266</v>
      </c>
      <c r="N144" s="1218"/>
      <c r="O144" s="1218"/>
      <c r="P144" s="1218"/>
      <c r="Q144" s="1218"/>
      <c r="R144" s="1422"/>
    </row>
    <row r="145" spans="1:18" ht="15.75">
      <c r="B145" s="1435"/>
      <c r="C145" s="402" t="s">
        <v>18</v>
      </c>
      <c r="D145" s="403" t="s">
        <v>249</v>
      </c>
      <c r="E145" s="404">
        <f>+③基本情報入力【例】!Y55</f>
        <v>0</v>
      </c>
      <c r="F145" s="384" t="s">
        <v>17</v>
      </c>
      <c r="G145" s="79" t="s">
        <v>11</v>
      </c>
      <c r="H145" s="72" t="s">
        <v>313</v>
      </c>
      <c r="I145" s="85">
        <f>0.171*(K145)^0.39*E145</f>
        <v>0</v>
      </c>
      <c r="J145" s="72" t="s">
        <v>124</v>
      </c>
      <c r="K145" s="146">
        <f>IFERROR('計算条件（既存）【例】'!G31*365/E145,0)</f>
        <v>0</v>
      </c>
      <c r="L145" s="385" t="s">
        <v>265</v>
      </c>
      <c r="M145" s="1217" t="s">
        <v>266</v>
      </c>
      <c r="N145" s="1218"/>
      <c r="O145" s="1218"/>
      <c r="P145" s="1218"/>
      <c r="Q145" s="1218"/>
      <c r="R145" s="1422"/>
    </row>
    <row r="146" spans="1:18" ht="15.75">
      <c r="B146" s="1435"/>
      <c r="C146" s="402" t="s">
        <v>9</v>
      </c>
      <c r="D146" s="403"/>
      <c r="E146" s="404">
        <f>+③基本情報入力【例】!Y55</f>
        <v>0</v>
      </c>
      <c r="F146" s="384" t="s">
        <v>13</v>
      </c>
      <c r="G146" s="79" t="s">
        <v>11</v>
      </c>
      <c r="H146" s="402" t="s">
        <v>312</v>
      </c>
      <c r="I146" s="85">
        <f>0.283*K146^0.302*E146</f>
        <v>0</v>
      </c>
      <c r="J146" s="72" t="s">
        <v>124</v>
      </c>
      <c r="K146" s="146">
        <f>IFERROR(ROUNDUP('物質収支（既存）【例】'!M84/2,-1)/E146,0)</f>
        <v>0</v>
      </c>
      <c r="L146" s="385" t="s">
        <v>1</v>
      </c>
      <c r="M146" s="1217" t="s">
        <v>251</v>
      </c>
      <c r="N146" s="1218"/>
      <c r="O146" s="1218"/>
      <c r="P146" s="1218"/>
      <c r="Q146" s="1218"/>
      <c r="R146" s="1422"/>
    </row>
    <row r="147" spans="1:18" ht="15.75">
      <c r="B147" s="1435"/>
      <c r="C147" s="402" t="s">
        <v>16</v>
      </c>
      <c r="D147" s="403"/>
      <c r="E147" s="404">
        <f>+③基本情報入力【例】!Y55</f>
        <v>0</v>
      </c>
      <c r="F147" s="384" t="s">
        <v>13</v>
      </c>
      <c r="G147" s="79" t="s">
        <v>11</v>
      </c>
      <c r="H147" s="402" t="s">
        <v>311</v>
      </c>
      <c r="I147" s="85">
        <f>0.0796*K147^0.761*E147</f>
        <v>0</v>
      </c>
      <c r="J147" s="72" t="s">
        <v>124</v>
      </c>
      <c r="K147" s="146">
        <f>IFERROR(ROUNDUP('物質収支（既存）【例】'!M84/24,0)/E147,0)</f>
        <v>0</v>
      </c>
      <c r="L147" s="385" t="s">
        <v>298</v>
      </c>
      <c r="M147" s="1217" t="s">
        <v>252</v>
      </c>
      <c r="N147" s="1218"/>
      <c r="O147" s="1218"/>
      <c r="P147" s="1218"/>
      <c r="Q147" s="1218"/>
      <c r="R147" s="1422"/>
    </row>
    <row r="148" spans="1:18" ht="15.75">
      <c r="B148" s="1435"/>
      <c r="C148" s="402" t="s">
        <v>10</v>
      </c>
      <c r="D148" s="403"/>
      <c r="E148" s="404">
        <f>+③基本情報入力【例】!Y56</f>
        <v>0</v>
      </c>
      <c r="F148" s="384" t="s">
        <v>17</v>
      </c>
      <c r="G148" s="79" t="s">
        <v>11</v>
      </c>
      <c r="H148" s="72" t="s">
        <v>140</v>
      </c>
      <c r="I148" s="85">
        <f>0.362*K148^0.585*E148</f>
        <v>0</v>
      </c>
      <c r="J148" s="72" t="s">
        <v>124</v>
      </c>
      <c r="K148" s="222">
        <f>IFERROR('物質収支（既存）【例】'!M41*365/E148,0)</f>
        <v>0</v>
      </c>
      <c r="L148" s="385" t="s">
        <v>562</v>
      </c>
      <c r="M148" s="1217" t="s">
        <v>268</v>
      </c>
      <c r="N148" s="1218"/>
      <c r="O148" s="1218"/>
      <c r="P148" s="1218"/>
      <c r="Q148" s="1218"/>
      <c r="R148" s="1422"/>
    </row>
    <row r="149" spans="1:18" ht="16.5" thickBot="1">
      <c r="B149" s="1435"/>
      <c r="C149" s="390" t="s">
        <v>310</v>
      </c>
      <c r="D149" s="389"/>
      <c r="E149" s="116">
        <f>+③基本情報入力【例】!Y57</f>
        <v>0</v>
      </c>
      <c r="F149" s="390" t="s">
        <v>264</v>
      </c>
      <c r="G149" s="87" t="s">
        <v>11</v>
      </c>
      <c r="H149" s="88" t="s">
        <v>351</v>
      </c>
      <c r="I149" s="272">
        <f>0.287*K149^0.673*E149</f>
        <v>0</v>
      </c>
      <c r="J149" s="88" t="s">
        <v>124</v>
      </c>
      <c r="K149" s="224">
        <f>IFERROR('物質収支（既存）【例】'!M41*365/E149,0)</f>
        <v>0</v>
      </c>
      <c r="L149" s="389" t="s">
        <v>562</v>
      </c>
      <c r="M149" s="1437" t="s">
        <v>309</v>
      </c>
      <c r="N149" s="1438"/>
      <c r="O149" s="1438"/>
      <c r="P149" s="1438"/>
      <c r="Q149" s="1438"/>
      <c r="R149" s="1439"/>
    </row>
    <row r="150" spans="1:18" ht="14.25" thickTop="1">
      <c r="B150" s="1436"/>
      <c r="C150" s="1434" t="s">
        <v>259</v>
      </c>
      <c r="D150" s="1434"/>
      <c r="E150" s="1434"/>
      <c r="F150" s="1434"/>
      <c r="G150" s="1434"/>
      <c r="H150" s="1434"/>
      <c r="I150" s="109">
        <f>SUM(I142:I149)</f>
        <v>2.9380038985564891E-2</v>
      </c>
      <c r="J150" s="112" t="s">
        <v>124</v>
      </c>
    </row>
    <row r="152" spans="1:18">
      <c r="A152" s="58"/>
      <c r="B152" s="148" t="str">
        <f>+③基本情報入力【例】!AD51</f>
        <v>⑥</v>
      </c>
      <c r="C152" s="58" t="str">
        <f>+③基本情報入力【例】!AD52</f>
        <v>C町中部浄化センター</v>
      </c>
    </row>
    <row r="153" spans="1:18">
      <c r="B153" s="400" t="s">
        <v>230</v>
      </c>
      <c r="C153" s="383" t="s">
        <v>231</v>
      </c>
      <c r="D153" s="383" t="s">
        <v>232</v>
      </c>
      <c r="E153" s="383" t="s">
        <v>233</v>
      </c>
      <c r="F153" s="383" t="s">
        <v>23</v>
      </c>
      <c r="G153" s="1444" t="s">
        <v>235</v>
      </c>
      <c r="H153" s="1445"/>
      <c r="I153" s="1444" t="s">
        <v>236</v>
      </c>
      <c r="J153" s="1445"/>
      <c r="K153" s="1444" t="s">
        <v>237</v>
      </c>
      <c r="L153" s="1445"/>
      <c r="M153" s="1446" t="s">
        <v>291</v>
      </c>
      <c r="N153" s="1447"/>
      <c r="O153" s="77" t="s">
        <v>238</v>
      </c>
      <c r="P153" s="77" t="s">
        <v>239</v>
      </c>
      <c r="Q153" s="77" t="s">
        <v>240</v>
      </c>
      <c r="R153" s="383" t="s">
        <v>97</v>
      </c>
    </row>
    <row r="154" spans="1:18" ht="15.75">
      <c r="B154" s="1417"/>
      <c r="C154" s="1423" t="s">
        <v>241</v>
      </c>
      <c r="D154" s="1347" t="s">
        <v>242</v>
      </c>
      <c r="E154" s="404">
        <f>+③基本情報入力【例】!AD53</f>
        <v>1</v>
      </c>
      <c r="F154" s="78" t="s">
        <v>3</v>
      </c>
      <c r="G154" s="79" t="s">
        <v>11</v>
      </c>
      <c r="H154" s="79" t="s">
        <v>294</v>
      </c>
      <c r="I154" s="80">
        <f>K154*(1-O154)*(P154+P154/((P154+1)^Q154-1))</f>
        <v>0.21630626929955107</v>
      </c>
      <c r="J154" s="72" t="s">
        <v>124</v>
      </c>
      <c r="K154" s="70">
        <f>1.31*M154^0.611*E154</f>
        <v>3.8184704407745569</v>
      </c>
      <c r="L154" s="79" t="s">
        <v>120</v>
      </c>
      <c r="M154" s="80">
        <f>IFERROR('計算条件（既存）【例】'!H37/E154,0)</f>
        <v>5.76</v>
      </c>
      <c r="N154" s="1347" t="s">
        <v>243</v>
      </c>
      <c r="O154" s="81">
        <f>+③基本情報入力【例】!$Y$61</f>
        <v>0.1</v>
      </c>
      <c r="P154" s="82">
        <f>+③基本情報入力【例】!$AB$61</f>
        <v>2.3E-2</v>
      </c>
      <c r="Q154" s="83">
        <f>+③基本情報入力【例】!$AE$61</f>
        <v>20</v>
      </c>
      <c r="R154" s="72" t="s">
        <v>244</v>
      </c>
    </row>
    <row r="155" spans="1:18" ht="15.75">
      <c r="B155" s="1417"/>
      <c r="C155" s="1453"/>
      <c r="D155" s="1349"/>
      <c r="E155" s="407">
        <v>0</v>
      </c>
      <c r="F155" s="78" t="s">
        <v>8</v>
      </c>
      <c r="G155" s="79" t="s">
        <v>11</v>
      </c>
      <c r="H155" s="79" t="s">
        <v>293</v>
      </c>
      <c r="I155" s="80">
        <f>K155*(1-O155)*(P155+P155/((P155+1)^Q155-1))</f>
        <v>0</v>
      </c>
      <c r="J155" s="72" t="s">
        <v>124</v>
      </c>
      <c r="K155" s="70">
        <f>1.24*M155^0.598*E155</f>
        <v>0</v>
      </c>
      <c r="L155" s="79" t="s">
        <v>120</v>
      </c>
      <c r="M155" s="80">
        <f>+M154</f>
        <v>5.76</v>
      </c>
      <c r="N155" s="1349"/>
      <c r="O155" s="81">
        <f>+③基本情報入力【例】!$Y$63</f>
        <v>0.1</v>
      </c>
      <c r="P155" s="84">
        <f>+③基本情報入力【例】!$AB$63</f>
        <v>2.3E-2</v>
      </c>
      <c r="Q155" s="83">
        <f>+③基本情報入力【例】!$AE$63</f>
        <v>40</v>
      </c>
      <c r="R155" s="72" t="s">
        <v>244</v>
      </c>
    </row>
    <row r="156" spans="1:18" ht="15.75">
      <c r="B156" s="1417"/>
      <c r="C156" s="1423" t="s">
        <v>22</v>
      </c>
      <c r="D156" s="1347"/>
      <c r="E156" s="404">
        <f>+③基本情報入力【例】!AD54</f>
        <v>1</v>
      </c>
      <c r="F156" s="78" t="s">
        <v>3</v>
      </c>
      <c r="G156" s="79" t="s">
        <v>11</v>
      </c>
      <c r="H156" s="79" t="s">
        <v>245</v>
      </c>
      <c r="I156" s="80">
        <f>K156*(1-O156)*(P156+P156/((P156+1)^Q156-1))</f>
        <v>2.7979059624529494</v>
      </c>
      <c r="J156" s="72" t="s">
        <v>124</v>
      </c>
      <c r="K156" s="70">
        <f>22.7*M156^0.444*E156</f>
        <v>49.391639217345833</v>
      </c>
      <c r="L156" s="79" t="s">
        <v>120</v>
      </c>
      <c r="M156" s="80">
        <f>IFERROR('計算条件（既存）【例】'!H37/E156,0)</f>
        <v>5.76</v>
      </c>
      <c r="N156" s="1347" t="s">
        <v>243</v>
      </c>
      <c r="O156" s="81">
        <f>+③基本情報入力【例】!$Y$61</f>
        <v>0.1</v>
      </c>
      <c r="P156" s="82">
        <f>+③基本情報入力【例】!$AB$61</f>
        <v>2.3E-2</v>
      </c>
      <c r="Q156" s="83">
        <f>+③基本情報入力【例】!$AE$61</f>
        <v>20</v>
      </c>
      <c r="R156" s="72" t="s">
        <v>244</v>
      </c>
    </row>
    <row r="157" spans="1:18" ht="15.75">
      <c r="B157" s="1417"/>
      <c r="C157" s="1453"/>
      <c r="D157" s="1349"/>
      <c r="E157" s="407">
        <v>0</v>
      </c>
      <c r="F157" s="78" t="s">
        <v>8</v>
      </c>
      <c r="G157" s="79" t="s">
        <v>11</v>
      </c>
      <c r="H157" s="79" t="s">
        <v>295</v>
      </c>
      <c r="I157" s="80">
        <f>K157*(1-O157)*(P157+P157/((P157+1)^Q157-1))</f>
        <v>0</v>
      </c>
      <c r="J157" s="72" t="s">
        <v>124</v>
      </c>
      <c r="K157" s="70">
        <f>43.4*M157^0.373*E157</f>
        <v>0</v>
      </c>
      <c r="L157" s="79" t="s">
        <v>120</v>
      </c>
      <c r="M157" s="80">
        <f>+M156</f>
        <v>5.76</v>
      </c>
      <c r="N157" s="1349"/>
      <c r="O157" s="81">
        <f>+③基本情報入力【例】!$Y$63</f>
        <v>0.1</v>
      </c>
      <c r="P157" s="84">
        <f>+③基本情報入力【例】!$AB$63</f>
        <v>2.3E-2</v>
      </c>
      <c r="Q157" s="83">
        <f>+③基本情報入力【例】!$AE$63</f>
        <v>40</v>
      </c>
      <c r="R157" s="72" t="s">
        <v>244</v>
      </c>
    </row>
    <row r="158" spans="1:18" ht="15.75">
      <c r="B158" s="1417"/>
      <c r="C158" s="384" t="s">
        <v>246</v>
      </c>
      <c r="D158" s="72"/>
      <c r="E158" s="404">
        <f>+③基本情報入力【例】!AD53</f>
        <v>1</v>
      </c>
      <c r="F158" s="384" t="s">
        <v>4</v>
      </c>
      <c r="G158" s="79" t="s">
        <v>11</v>
      </c>
      <c r="H158" s="72" t="s">
        <v>292</v>
      </c>
      <c r="I158" s="80">
        <f>K158*(1-O158)*(P158+P158/((P158+1)^Q158-1))</f>
        <v>2.8728862772682953</v>
      </c>
      <c r="J158" s="72" t="s">
        <v>124</v>
      </c>
      <c r="K158" s="69">
        <f>17.8*M158^0.464*E158</f>
        <v>40.110311486665211</v>
      </c>
      <c r="L158" s="72" t="s">
        <v>120</v>
      </c>
      <c r="M158" s="80">
        <f>IFERROR('計算条件（既存）【例】'!H37/E158,0)</f>
        <v>5.76</v>
      </c>
      <c r="N158" s="385" t="s">
        <v>243</v>
      </c>
      <c r="O158" s="81">
        <f>+③基本情報入力【例】!$Y$62</f>
        <v>0.1</v>
      </c>
      <c r="P158" s="84">
        <f>+③基本情報入力【例】!$AB$62</f>
        <v>2.3E-2</v>
      </c>
      <c r="Q158" s="83">
        <f>+③基本情報入力【例】!$AE$62</f>
        <v>15</v>
      </c>
      <c r="R158" s="72" t="s">
        <v>247</v>
      </c>
    </row>
    <row r="159" spans="1:18" ht="15.75">
      <c r="B159" s="1417"/>
      <c r="C159" s="1407" t="s">
        <v>18</v>
      </c>
      <c r="D159" s="1408" t="s">
        <v>249</v>
      </c>
      <c r="E159" s="404">
        <f>+③基本情報入力【例】!AD55</f>
        <v>0</v>
      </c>
      <c r="F159" s="384" t="s">
        <v>3</v>
      </c>
      <c r="G159" s="79" t="s">
        <v>11</v>
      </c>
      <c r="H159" s="72" t="s">
        <v>134</v>
      </c>
      <c r="I159" s="80">
        <f t="shared" ref="I159:I168" si="5">K159*(1-O159)*(P159+P159/((P159+1)^Q159-1))</f>
        <v>0</v>
      </c>
      <c r="J159" s="72" t="s">
        <v>124</v>
      </c>
      <c r="K159" s="69">
        <f>124*(M159/500)^0.6*E159</f>
        <v>0</v>
      </c>
      <c r="L159" s="72" t="s">
        <v>120</v>
      </c>
      <c r="M159" s="146">
        <f>IFERROR(ROUNDUP('物質収支（既存）【例】'!N10*25,-1)/E159,0)</f>
        <v>0</v>
      </c>
      <c r="N159" s="385" t="s">
        <v>1</v>
      </c>
      <c r="O159" s="81">
        <f>+③基本情報入力【例】!$Y$61</f>
        <v>0.1</v>
      </c>
      <c r="P159" s="82">
        <f>+③基本情報入力【例】!$AB$61</f>
        <v>2.3E-2</v>
      </c>
      <c r="Q159" s="83">
        <f>+③基本情報入力【例】!$AE$61</f>
        <v>20</v>
      </c>
      <c r="R159" s="72" t="s">
        <v>250</v>
      </c>
    </row>
    <row r="160" spans="1:18" ht="15.75">
      <c r="B160" s="1417"/>
      <c r="C160" s="1407"/>
      <c r="D160" s="1408"/>
      <c r="E160" s="407">
        <v>0</v>
      </c>
      <c r="F160" s="384" t="s">
        <v>8</v>
      </c>
      <c r="G160" s="79" t="s">
        <v>11</v>
      </c>
      <c r="H160" s="72" t="s">
        <v>135</v>
      </c>
      <c r="I160" s="80">
        <f t="shared" si="5"/>
        <v>0</v>
      </c>
      <c r="J160" s="72" t="s">
        <v>124</v>
      </c>
      <c r="K160" s="69">
        <f>44.1*(M160/500)^0.6*E160</f>
        <v>0</v>
      </c>
      <c r="L160" s="72" t="s">
        <v>120</v>
      </c>
      <c r="M160" s="146">
        <f>+M159</f>
        <v>0</v>
      </c>
      <c r="N160" s="385" t="s">
        <v>1</v>
      </c>
      <c r="O160" s="81">
        <f>+③基本情報入力【例】!$Y$63</f>
        <v>0.1</v>
      </c>
      <c r="P160" s="84">
        <f>+③基本情報入力【例】!$AB$63</f>
        <v>2.3E-2</v>
      </c>
      <c r="Q160" s="83">
        <f>+③基本情報入力【例】!$AE$63</f>
        <v>40</v>
      </c>
      <c r="R160" s="86"/>
    </row>
    <row r="161" spans="1:18" ht="15.75">
      <c r="B161" s="1417"/>
      <c r="C161" s="384" t="s">
        <v>9</v>
      </c>
      <c r="D161" s="72"/>
      <c r="E161" s="404">
        <f>+③基本情報入力【例】!AD55</f>
        <v>0</v>
      </c>
      <c r="F161" s="384" t="s">
        <v>3</v>
      </c>
      <c r="G161" s="79" t="s">
        <v>11</v>
      </c>
      <c r="H161" s="72" t="s">
        <v>300</v>
      </c>
      <c r="I161" s="80">
        <f t="shared" si="5"/>
        <v>0</v>
      </c>
      <c r="J161" s="72" t="s">
        <v>124</v>
      </c>
      <c r="K161" s="69">
        <f>10.4*M161^0.437*E161</f>
        <v>0</v>
      </c>
      <c r="L161" s="72" t="s">
        <v>120</v>
      </c>
      <c r="M161" s="146">
        <f>IFERROR(ROUNDUP('物質収支（既存）【例】'!N84/2,-1)/E161,0)</f>
        <v>0</v>
      </c>
      <c r="N161" s="385" t="s">
        <v>1</v>
      </c>
      <c r="O161" s="81">
        <f>+③基本情報入力【例】!$Y$61</f>
        <v>0.1</v>
      </c>
      <c r="P161" s="82">
        <f>+③基本情報入力【例】!$AB$61</f>
        <v>2.3E-2</v>
      </c>
      <c r="Q161" s="83">
        <f>+③基本情報入力【例】!$AE$61</f>
        <v>20</v>
      </c>
      <c r="R161" s="74" t="s">
        <v>251</v>
      </c>
    </row>
    <row r="162" spans="1:18" ht="15.75">
      <c r="B162" s="1417"/>
      <c r="C162" s="384" t="s">
        <v>16</v>
      </c>
      <c r="D162" s="72"/>
      <c r="E162" s="404">
        <f>+③基本情報入力【例】!AD55</f>
        <v>0</v>
      </c>
      <c r="F162" s="384" t="s">
        <v>3</v>
      </c>
      <c r="G162" s="79" t="s">
        <v>11</v>
      </c>
      <c r="H162" s="72" t="s">
        <v>299</v>
      </c>
      <c r="I162" s="80">
        <f t="shared" si="5"/>
        <v>0</v>
      </c>
      <c r="J162" s="72" t="s">
        <v>124</v>
      </c>
      <c r="K162" s="69">
        <f>0.878*M162^0.761*E162</f>
        <v>0</v>
      </c>
      <c r="L162" s="72" t="s">
        <v>120</v>
      </c>
      <c r="M162" s="146">
        <f>IFERROR(ROUNDUP('物質収支（既存）【例】'!N84/24,0)/E162,0)</f>
        <v>0</v>
      </c>
      <c r="N162" s="385" t="s">
        <v>298</v>
      </c>
      <c r="O162" s="81">
        <f>+③基本情報入力【例】!$Y$61</f>
        <v>0.1</v>
      </c>
      <c r="P162" s="82">
        <f>+③基本情報入力【例】!$AB$61</f>
        <v>2.3E-2</v>
      </c>
      <c r="Q162" s="83">
        <f>+③基本情報入力【例】!$AE$61</f>
        <v>20</v>
      </c>
      <c r="R162" s="74" t="s">
        <v>252</v>
      </c>
    </row>
    <row r="163" spans="1:18" ht="15.75">
      <c r="A163" s="58"/>
      <c r="B163" s="1417"/>
      <c r="C163" s="1409" t="s">
        <v>10</v>
      </c>
      <c r="D163" s="1412"/>
      <c r="E163" s="404">
        <f>+③基本情報入力【例】!AD56</f>
        <v>0</v>
      </c>
      <c r="F163" s="384" t="s">
        <v>3</v>
      </c>
      <c r="G163" s="79" t="s">
        <v>11</v>
      </c>
      <c r="H163" s="72" t="s">
        <v>297</v>
      </c>
      <c r="I163" s="80">
        <f t="shared" si="5"/>
        <v>0</v>
      </c>
      <c r="J163" s="72" t="s">
        <v>124</v>
      </c>
      <c r="K163" s="69">
        <f>31.9*M163^0.971*E163</f>
        <v>0</v>
      </c>
      <c r="L163" s="72" t="s">
        <v>120</v>
      </c>
      <c r="M163" s="222">
        <f>IFERROR('物質収支（既存）【例】'!N41/E163,0)</f>
        <v>0</v>
      </c>
      <c r="N163" s="385" t="s">
        <v>0</v>
      </c>
      <c r="O163" s="81">
        <f>+③基本情報入力【例】!$Y$61</f>
        <v>0.1</v>
      </c>
      <c r="P163" s="82">
        <f>+③基本情報入力【例】!$AB$61</f>
        <v>2.3E-2</v>
      </c>
      <c r="Q163" s="83">
        <f>+③基本情報入力【例】!$AE$61</f>
        <v>20</v>
      </c>
      <c r="R163" s="72" t="s">
        <v>253</v>
      </c>
    </row>
    <row r="164" spans="1:18" ht="15.75" customHeight="1">
      <c r="A164" s="58"/>
      <c r="B164" s="1417"/>
      <c r="C164" s="1410"/>
      <c r="D164" s="1413"/>
      <c r="E164" s="404">
        <f>+③基本情報入力【例】!AD56</f>
        <v>0</v>
      </c>
      <c r="F164" s="384" t="s">
        <v>4</v>
      </c>
      <c r="G164" s="79" t="s">
        <v>11</v>
      </c>
      <c r="H164" s="72" t="s">
        <v>136</v>
      </c>
      <c r="I164" s="80">
        <f t="shared" si="5"/>
        <v>0</v>
      </c>
      <c r="J164" s="72" t="s">
        <v>124</v>
      </c>
      <c r="K164" s="69">
        <f>6.59*M164^0.809*E164</f>
        <v>0</v>
      </c>
      <c r="L164" s="72" t="s">
        <v>120</v>
      </c>
      <c r="M164" s="222">
        <f>+M163</f>
        <v>0</v>
      </c>
      <c r="N164" s="385" t="s">
        <v>0</v>
      </c>
      <c r="O164" s="81">
        <f>+③基本情報入力【例】!$Y$62</f>
        <v>0.1</v>
      </c>
      <c r="P164" s="84">
        <f>+③基本情報入力【例】!$AB$62</f>
        <v>2.3E-2</v>
      </c>
      <c r="Q164" s="83">
        <f>+③基本情報入力【例】!$AE$62</f>
        <v>15</v>
      </c>
      <c r="R164" s="72"/>
    </row>
    <row r="165" spans="1:18" ht="15.75">
      <c r="A165" s="58"/>
      <c r="B165" s="1417"/>
      <c r="C165" s="1411"/>
      <c r="D165" s="1414"/>
      <c r="E165" s="407">
        <v>0</v>
      </c>
      <c r="F165" s="384" t="s">
        <v>5</v>
      </c>
      <c r="G165" s="79" t="s">
        <v>11</v>
      </c>
      <c r="H165" s="72" t="s">
        <v>137</v>
      </c>
      <c r="I165" s="80">
        <f t="shared" si="5"/>
        <v>0</v>
      </c>
      <c r="J165" s="72" t="s">
        <v>124</v>
      </c>
      <c r="K165" s="69">
        <f>12.3*M165^0.941*E165</f>
        <v>0</v>
      </c>
      <c r="L165" s="72" t="s">
        <v>120</v>
      </c>
      <c r="M165" s="222">
        <f>+M163</f>
        <v>0</v>
      </c>
      <c r="N165" s="385" t="s">
        <v>0</v>
      </c>
      <c r="O165" s="81">
        <f>+③基本情報入力【例】!$Y$63</f>
        <v>0.1</v>
      </c>
      <c r="P165" s="84">
        <f>+③基本情報入力【例】!$AB$63</f>
        <v>2.3E-2</v>
      </c>
      <c r="Q165" s="83">
        <f>+③基本情報入力【例】!$AE$63</f>
        <v>40</v>
      </c>
      <c r="R165" s="72"/>
    </row>
    <row r="166" spans="1:18" ht="15.75">
      <c r="A166" s="58"/>
      <c r="B166" s="1417"/>
      <c r="C166" s="1423" t="s">
        <v>310</v>
      </c>
      <c r="D166" s="1347"/>
      <c r="E166" s="404">
        <f>+③基本情報入力【例】!AD57</f>
        <v>0</v>
      </c>
      <c r="F166" s="384" t="s">
        <v>3</v>
      </c>
      <c r="G166" s="144" t="s">
        <v>11</v>
      </c>
      <c r="H166" s="72" t="s">
        <v>317</v>
      </c>
      <c r="I166" s="94">
        <f t="shared" si="5"/>
        <v>0</v>
      </c>
      <c r="J166" s="97" t="s">
        <v>124</v>
      </c>
      <c r="K166" s="69">
        <f>188.8*M166^0.597*E166</f>
        <v>0</v>
      </c>
      <c r="L166" s="97" t="s">
        <v>120</v>
      </c>
      <c r="M166" s="222">
        <f>IFERROR('物質収支（既存）【例】'!N41/E166,0)</f>
        <v>0</v>
      </c>
      <c r="N166" s="387" t="s">
        <v>0</v>
      </c>
      <c r="O166" s="81">
        <f>+③基本情報入力【例】!$Y$61</f>
        <v>0.1</v>
      </c>
      <c r="P166" s="82">
        <f>+③基本情報入力【例】!$AB$61</f>
        <v>2.3E-2</v>
      </c>
      <c r="Q166" s="83">
        <f>+③基本情報入力【例】!$AE$61</f>
        <v>20</v>
      </c>
      <c r="R166" s="72" t="s">
        <v>316</v>
      </c>
    </row>
    <row r="167" spans="1:18" ht="15.75">
      <c r="A167" s="58"/>
      <c r="B167" s="1417"/>
      <c r="C167" s="1424"/>
      <c r="D167" s="1348"/>
      <c r="E167" s="404">
        <f>+③基本情報入力【例】!AD57</f>
        <v>0</v>
      </c>
      <c r="F167" s="384" t="s">
        <v>4</v>
      </c>
      <c r="G167" s="144" t="s">
        <v>11</v>
      </c>
      <c r="H167" s="72" t="s">
        <v>315</v>
      </c>
      <c r="I167" s="94">
        <f t="shared" si="5"/>
        <v>0</v>
      </c>
      <c r="J167" s="97" t="s">
        <v>124</v>
      </c>
      <c r="K167" s="69">
        <f>72.6*M167^0.539*E167</f>
        <v>0</v>
      </c>
      <c r="L167" s="97" t="s">
        <v>120</v>
      </c>
      <c r="M167" s="222">
        <f>+M166</f>
        <v>0</v>
      </c>
      <c r="N167" s="387" t="s">
        <v>0</v>
      </c>
      <c r="O167" s="81">
        <f>+③基本情報入力【例】!$Y$62</f>
        <v>0.1</v>
      </c>
      <c r="P167" s="84">
        <f>+③基本情報入力【例】!$AB$62</f>
        <v>2.3E-2</v>
      </c>
      <c r="Q167" s="83">
        <f>+③基本情報入力【例】!$AE$62</f>
        <v>15</v>
      </c>
      <c r="R167" s="72"/>
    </row>
    <row r="168" spans="1:18" ht="16.5" thickBot="1">
      <c r="A168" s="58"/>
      <c r="B168" s="1417"/>
      <c r="C168" s="1425"/>
      <c r="D168" s="1426"/>
      <c r="E168" s="116">
        <v>0</v>
      </c>
      <c r="F168" s="390" t="s">
        <v>8</v>
      </c>
      <c r="G168" s="87" t="s">
        <v>11</v>
      </c>
      <c r="H168" s="88" t="s">
        <v>314</v>
      </c>
      <c r="I168" s="89">
        <f t="shared" si="5"/>
        <v>0</v>
      </c>
      <c r="J168" s="88" t="s">
        <v>124</v>
      </c>
      <c r="K168" s="90">
        <f>136.1*M168^0.38*E168</f>
        <v>0</v>
      </c>
      <c r="L168" s="88" t="s">
        <v>120</v>
      </c>
      <c r="M168" s="224">
        <f>+M166</f>
        <v>0</v>
      </c>
      <c r="N168" s="389" t="s">
        <v>0</v>
      </c>
      <c r="O168" s="91">
        <f>+③基本情報入力【例】!$Y$63</f>
        <v>0.1</v>
      </c>
      <c r="P168" s="92">
        <f>+③基本情報入力【例】!$AB$63</f>
        <v>2.3E-2</v>
      </c>
      <c r="Q168" s="93">
        <f>+③基本情報入力【例】!$AE$63</f>
        <v>40</v>
      </c>
      <c r="R168" s="88"/>
    </row>
    <row r="169" spans="1:18" ht="14.25" thickTop="1">
      <c r="B169" s="1418"/>
      <c r="C169" s="1448" t="s">
        <v>259</v>
      </c>
      <c r="D169" s="1449"/>
      <c r="E169" s="1449"/>
      <c r="F169" s="1449"/>
      <c r="G169" s="1449"/>
      <c r="H169" s="1450"/>
      <c r="I169" s="109">
        <f>SUM(I154:I168)</f>
        <v>5.8870985090207952</v>
      </c>
      <c r="J169" s="112" t="s">
        <v>124</v>
      </c>
      <c r="K169" s="111">
        <f>SUM(K154:K168)</f>
        <v>93.320421144785598</v>
      </c>
      <c r="L169" s="112" t="s">
        <v>120</v>
      </c>
      <c r="M169" s="113"/>
      <c r="N169" s="382"/>
      <c r="O169" s="99"/>
      <c r="P169" s="100"/>
      <c r="Q169" s="101"/>
      <c r="R169" s="101"/>
    </row>
    <row r="170" spans="1:18">
      <c r="B170" s="381" t="s">
        <v>260</v>
      </c>
      <c r="C170" s="380" t="s">
        <v>231</v>
      </c>
      <c r="D170" s="380" t="s">
        <v>232</v>
      </c>
      <c r="E170" s="380" t="s">
        <v>233</v>
      </c>
      <c r="F170" s="380" t="s">
        <v>273</v>
      </c>
      <c r="G170" s="1451" t="s">
        <v>235</v>
      </c>
      <c r="H170" s="1452"/>
      <c r="I170" s="1451" t="s">
        <v>237</v>
      </c>
      <c r="J170" s="1452"/>
      <c r="K170" s="1454" t="s">
        <v>291</v>
      </c>
      <c r="L170" s="1455"/>
      <c r="M170" s="1451" t="s">
        <v>97</v>
      </c>
      <c r="N170" s="1456"/>
      <c r="O170" s="1456"/>
      <c r="P170" s="1456"/>
      <c r="Q170" s="1456"/>
      <c r="R170" s="1452"/>
    </row>
    <row r="171" spans="1:18" ht="15.75">
      <c r="B171" s="1435"/>
      <c r="C171" s="384" t="s">
        <v>241</v>
      </c>
      <c r="D171" s="385" t="s">
        <v>242</v>
      </c>
      <c r="E171" s="404">
        <f>+③基本情報入力【例】!AD53</f>
        <v>1</v>
      </c>
      <c r="F171" s="78" t="s">
        <v>262</v>
      </c>
      <c r="G171" s="79" t="s">
        <v>11</v>
      </c>
      <c r="H171" s="72" t="s">
        <v>290</v>
      </c>
      <c r="I171" s="80">
        <f>0.03*K171^0.628*E171</f>
        <v>8.0341650938157289E-2</v>
      </c>
      <c r="J171" s="72" t="s">
        <v>124</v>
      </c>
      <c r="K171" s="80">
        <f>IFERROR('計算条件（既存）【例】'!G37/E171,0)</f>
        <v>4.8</v>
      </c>
      <c r="L171" s="385" t="s">
        <v>243</v>
      </c>
      <c r="M171" s="1217" t="s">
        <v>263</v>
      </c>
      <c r="N171" s="1218"/>
      <c r="O171" s="1218"/>
      <c r="P171" s="1218"/>
      <c r="Q171" s="1218"/>
      <c r="R171" s="1422"/>
    </row>
    <row r="172" spans="1:18" ht="15.75">
      <c r="B172" s="1435"/>
      <c r="C172" s="384" t="s">
        <v>22</v>
      </c>
      <c r="D172" s="385"/>
      <c r="E172" s="404">
        <f>+③基本情報入力【例】!AD54</f>
        <v>1</v>
      </c>
      <c r="F172" s="78" t="s">
        <v>308</v>
      </c>
      <c r="G172" s="79" t="s">
        <v>11</v>
      </c>
      <c r="H172" s="72" t="s">
        <v>142</v>
      </c>
      <c r="I172" s="80">
        <f>0.039*K172^0.596*E172</f>
        <v>3.3435739404725542</v>
      </c>
      <c r="J172" s="72" t="s">
        <v>124</v>
      </c>
      <c r="K172" s="80">
        <f>IFERROR('計算条件（既存）【例】'!G37*365/E172,0)</f>
        <v>1752</v>
      </c>
      <c r="L172" s="385" t="s">
        <v>265</v>
      </c>
      <c r="M172" s="1217" t="s">
        <v>266</v>
      </c>
      <c r="N172" s="1218"/>
      <c r="O172" s="1218"/>
      <c r="P172" s="1218"/>
      <c r="Q172" s="1218"/>
      <c r="R172" s="1422"/>
    </row>
    <row r="173" spans="1:18" ht="15.75">
      <c r="B173" s="1435"/>
      <c r="C173" s="384" t="s">
        <v>246</v>
      </c>
      <c r="D173" s="72"/>
      <c r="E173" s="404">
        <f>+③基本情報入力【例】!AD53</f>
        <v>1</v>
      </c>
      <c r="F173" s="384" t="s">
        <v>267</v>
      </c>
      <c r="G173" s="79" t="s">
        <v>11</v>
      </c>
      <c r="H173" s="72" t="s">
        <v>141</v>
      </c>
      <c r="I173" s="80">
        <f>0.0024*K173^0.533*E173</f>
        <v>0.12853308102176936</v>
      </c>
      <c r="J173" s="72" t="s">
        <v>124</v>
      </c>
      <c r="K173" s="80">
        <f>IFERROR('計算条件（既存）【例】'!G37*365/E173,0)</f>
        <v>1752</v>
      </c>
      <c r="L173" s="385" t="s">
        <v>265</v>
      </c>
      <c r="M173" s="1217" t="s">
        <v>266</v>
      </c>
      <c r="N173" s="1218"/>
      <c r="O173" s="1218"/>
      <c r="P173" s="1218"/>
      <c r="Q173" s="1218"/>
      <c r="R173" s="1422"/>
    </row>
    <row r="174" spans="1:18" ht="15.75">
      <c r="B174" s="1435"/>
      <c r="C174" s="402" t="s">
        <v>18</v>
      </c>
      <c r="D174" s="403" t="s">
        <v>249</v>
      </c>
      <c r="E174" s="404">
        <f>+③基本情報入力【例】!AD55</f>
        <v>0</v>
      </c>
      <c r="F174" s="384" t="s">
        <v>17</v>
      </c>
      <c r="G174" s="79" t="s">
        <v>11</v>
      </c>
      <c r="H174" s="72" t="s">
        <v>313</v>
      </c>
      <c r="I174" s="85">
        <f>0.171*(K174)^0.39*E174</f>
        <v>0</v>
      </c>
      <c r="J174" s="72" t="s">
        <v>124</v>
      </c>
      <c r="K174" s="146">
        <f>IFERROR('計算条件（既存）【例】'!G37*365/E174,0)</f>
        <v>0</v>
      </c>
      <c r="L174" s="385" t="s">
        <v>265</v>
      </c>
      <c r="M174" s="1217" t="s">
        <v>266</v>
      </c>
      <c r="N174" s="1218"/>
      <c r="O174" s="1218"/>
      <c r="P174" s="1218"/>
      <c r="Q174" s="1218"/>
      <c r="R174" s="1422"/>
    </row>
    <row r="175" spans="1:18" ht="15.75">
      <c r="B175" s="1435"/>
      <c r="C175" s="402" t="s">
        <v>9</v>
      </c>
      <c r="D175" s="403"/>
      <c r="E175" s="404">
        <f>+③基本情報入力【例】!AD55</f>
        <v>0</v>
      </c>
      <c r="F175" s="384" t="s">
        <v>13</v>
      </c>
      <c r="G175" s="79" t="s">
        <v>11</v>
      </c>
      <c r="H175" s="402" t="s">
        <v>312</v>
      </c>
      <c r="I175" s="85">
        <f>0.283*K175^0.302*E175</f>
        <v>0</v>
      </c>
      <c r="J175" s="72" t="s">
        <v>124</v>
      </c>
      <c r="K175" s="146">
        <f>IFERROR(ROUNDUP('物質収支（既存）【例】'!N84/2,-1)/E175,0)</f>
        <v>0</v>
      </c>
      <c r="L175" s="385" t="s">
        <v>1</v>
      </c>
      <c r="M175" s="1217" t="s">
        <v>251</v>
      </c>
      <c r="N175" s="1218"/>
      <c r="O175" s="1218"/>
      <c r="P175" s="1218"/>
      <c r="Q175" s="1218"/>
      <c r="R175" s="1422"/>
    </row>
    <row r="176" spans="1:18" ht="15.75">
      <c r="B176" s="1435"/>
      <c r="C176" s="402" t="s">
        <v>16</v>
      </c>
      <c r="D176" s="403"/>
      <c r="E176" s="404">
        <f>+③基本情報入力【例】!AD55</f>
        <v>0</v>
      </c>
      <c r="F176" s="384" t="s">
        <v>13</v>
      </c>
      <c r="G176" s="79" t="s">
        <v>11</v>
      </c>
      <c r="H176" s="402" t="s">
        <v>311</v>
      </c>
      <c r="I176" s="85">
        <f>0.0796*K176^0.761*E176</f>
        <v>0</v>
      </c>
      <c r="J176" s="72" t="s">
        <v>124</v>
      </c>
      <c r="K176" s="146">
        <f>IFERROR(ROUNDUP('物質収支（既存）【例】'!N84/24,0)/E176,0)</f>
        <v>0</v>
      </c>
      <c r="L176" s="385" t="s">
        <v>298</v>
      </c>
      <c r="M176" s="1217" t="s">
        <v>252</v>
      </c>
      <c r="N176" s="1218"/>
      <c r="O176" s="1218"/>
      <c r="P176" s="1218"/>
      <c r="Q176" s="1218"/>
      <c r="R176" s="1422"/>
    </row>
    <row r="177" spans="1:18" ht="15.75">
      <c r="B177" s="1435"/>
      <c r="C177" s="402" t="s">
        <v>10</v>
      </c>
      <c r="D177" s="403"/>
      <c r="E177" s="404">
        <f>+③基本情報入力【例】!AD56</f>
        <v>0</v>
      </c>
      <c r="F177" s="384" t="s">
        <v>17</v>
      </c>
      <c r="G177" s="79" t="s">
        <v>11</v>
      </c>
      <c r="H177" s="72" t="s">
        <v>140</v>
      </c>
      <c r="I177" s="85">
        <f>0.362*K177^0.585*E177</f>
        <v>0</v>
      </c>
      <c r="J177" s="72" t="s">
        <v>124</v>
      </c>
      <c r="K177" s="222">
        <f>IFERROR('物質収支（既存）【例】'!N41*365/E177,0)</f>
        <v>0</v>
      </c>
      <c r="L177" s="385" t="s">
        <v>562</v>
      </c>
      <c r="M177" s="1217" t="s">
        <v>268</v>
      </c>
      <c r="N177" s="1218"/>
      <c r="O177" s="1218"/>
      <c r="P177" s="1218"/>
      <c r="Q177" s="1218"/>
      <c r="R177" s="1422"/>
    </row>
    <row r="178" spans="1:18" ht="16.5" thickBot="1">
      <c r="B178" s="1435"/>
      <c r="C178" s="390" t="s">
        <v>310</v>
      </c>
      <c r="D178" s="389"/>
      <c r="E178" s="116">
        <f>+③基本情報入力【例】!AD57</f>
        <v>0</v>
      </c>
      <c r="F178" s="390" t="s">
        <v>264</v>
      </c>
      <c r="G178" s="87" t="s">
        <v>11</v>
      </c>
      <c r="H178" s="88" t="s">
        <v>351</v>
      </c>
      <c r="I178" s="272">
        <f>0.287*K178^0.673*E178</f>
        <v>0</v>
      </c>
      <c r="J178" s="88" t="s">
        <v>124</v>
      </c>
      <c r="K178" s="224">
        <f>IFERROR('物質収支（既存）【例】'!N41*365/E178,0)</f>
        <v>0</v>
      </c>
      <c r="L178" s="389" t="s">
        <v>562</v>
      </c>
      <c r="M178" s="1437" t="s">
        <v>309</v>
      </c>
      <c r="N178" s="1438"/>
      <c r="O178" s="1438"/>
      <c r="P178" s="1438"/>
      <c r="Q178" s="1438"/>
      <c r="R178" s="1439"/>
    </row>
    <row r="179" spans="1:18" ht="14.25" thickTop="1">
      <c r="B179" s="1436"/>
      <c r="C179" s="1427" t="s">
        <v>259</v>
      </c>
      <c r="D179" s="1428"/>
      <c r="E179" s="1428"/>
      <c r="F179" s="1428"/>
      <c r="G179" s="1428"/>
      <c r="H179" s="1429"/>
      <c r="I179" s="109">
        <f>SUM(I171:I178)</f>
        <v>3.5524486724324809</v>
      </c>
      <c r="J179" s="112" t="s">
        <v>124</v>
      </c>
      <c r="K179" s="118"/>
      <c r="L179" s="382"/>
      <c r="M179" s="1431"/>
      <c r="N179" s="1431"/>
      <c r="O179" s="1431"/>
      <c r="P179" s="1431"/>
      <c r="Q179" s="1431"/>
      <c r="R179" s="1431"/>
    </row>
    <row r="181" spans="1:18">
      <c r="A181" s="58"/>
      <c r="B181" s="148" t="str">
        <f>+③基本情報入力【例】!AI51</f>
        <v>⑦</v>
      </c>
      <c r="C181" s="58" t="str">
        <f>+③基本情報入力【例】!AI52</f>
        <v>その他処理場</v>
      </c>
    </row>
    <row r="182" spans="1:18">
      <c r="B182" s="400" t="s">
        <v>230</v>
      </c>
      <c r="C182" s="383" t="s">
        <v>231</v>
      </c>
      <c r="D182" s="383" t="s">
        <v>232</v>
      </c>
      <c r="E182" s="383" t="s">
        <v>233</v>
      </c>
      <c r="F182" s="383" t="s">
        <v>23</v>
      </c>
      <c r="G182" s="1444" t="s">
        <v>235</v>
      </c>
      <c r="H182" s="1445"/>
      <c r="I182" s="1444" t="s">
        <v>236</v>
      </c>
      <c r="J182" s="1445"/>
      <c r="K182" s="1444" t="s">
        <v>237</v>
      </c>
      <c r="L182" s="1445"/>
      <c r="M182" s="1446" t="s">
        <v>291</v>
      </c>
      <c r="N182" s="1447"/>
      <c r="O182" s="77" t="s">
        <v>238</v>
      </c>
      <c r="P182" s="77" t="s">
        <v>239</v>
      </c>
      <c r="Q182" s="77" t="s">
        <v>240</v>
      </c>
      <c r="R182" s="383" t="s">
        <v>97</v>
      </c>
    </row>
    <row r="183" spans="1:18" ht="15.75">
      <c r="B183" s="1417"/>
      <c r="C183" s="1423" t="s">
        <v>241</v>
      </c>
      <c r="D183" s="1347" t="s">
        <v>242</v>
      </c>
      <c r="E183" s="404">
        <f>+③基本情報入力【例】!AI53</f>
        <v>4</v>
      </c>
      <c r="F183" s="78" t="s">
        <v>3</v>
      </c>
      <c r="G183" s="79" t="s">
        <v>11</v>
      </c>
      <c r="H183" s="79" t="s">
        <v>294</v>
      </c>
      <c r="I183" s="80">
        <f>K183*(1-O183)*(P183+P183/((P183+1)^Q183-1))</f>
        <v>9.8717386899353859E-2</v>
      </c>
      <c r="J183" s="72" t="s">
        <v>124</v>
      </c>
      <c r="K183" s="70">
        <f>1.31*M183^0.611*E183</f>
        <v>1.7426652731163839</v>
      </c>
      <c r="L183" s="79" t="s">
        <v>120</v>
      </c>
      <c r="M183" s="80">
        <f>IFERROR('計算条件（既存）【例】'!H43/E183,0)</f>
        <v>0.16500000000000001</v>
      </c>
      <c r="N183" s="1347" t="s">
        <v>243</v>
      </c>
      <c r="O183" s="81">
        <f>+③基本情報入力【例】!$Y$61</f>
        <v>0.1</v>
      </c>
      <c r="P183" s="82">
        <f>+③基本情報入力【例】!$AB$61</f>
        <v>2.3E-2</v>
      </c>
      <c r="Q183" s="83">
        <f>+③基本情報入力【例】!$AE$61</f>
        <v>20</v>
      </c>
      <c r="R183" s="72" t="s">
        <v>244</v>
      </c>
    </row>
    <row r="184" spans="1:18" ht="15.75">
      <c r="B184" s="1417"/>
      <c r="C184" s="1453"/>
      <c r="D184" s="1349"/>
      <c r="E184" s="407">
        <v>0</v>
      </c>
      <c r="F184" s="78" t="s">
        <v>8</v>
      </c>
      <c r="G184" s="79" t="s">
        <v>11</v>
      </c>
      <c r="H184" s="79" t="s">
        <v>293</v>
      </c>
      <c r="I184" s="80">
        <f>K184*(1-O184)*(P184+P184/((P184+1)^Q184-1))</f>
        <v>0</v>
      </c>
      <c r="J184" s="72" t="s">
        <v>124</v>
      </c>
      <c r="K184" s="70">
        <f>1.24*M184^0.598*E184</f>
        <v>0</v>
      </c>
      <c r="L184" s="79" t="s">
        <v>120</v>
      </c>
      <c r="M184" s="80">
        <f>+M183</f>
        <v>0.16500000000000001</v>
      </c>
      <c r="N184" s="1349"/>
      <c r="O184" s="81">
        <f>+③基本情報入力【例】!$Y$63</f>
        <v>0.1</v>
      </c>
      <c r="P184" s="84">
        <f>+③基本情報入力【例】!$AB$63</f>
        <v>2.3E-2</v>
      </c>
      <c r="Q184" s="83">
        <f>+③基本情報入力【例】!$AE$63</f>
        <v>40</v>
      </c>
      <c r="R184" s="72" t="s">
        <v>244</v>
      </c>
    </row>
    <row r="185" spans="1:18" ht="15.75">
      <c r="B185" s="1417"/>
      <c r="C185" s="1423" t="s">
        <v>22</v>
      </c>
      <c r="D185" s="1347"/>
      <c r="E185" s="404">
        <f>+③基本情報入力【例】!AI54</f>
        <v>0</v>
      </c>
      <c r="F185" s="78" t="s">
        <v>3</v>
      </c>
      <c r="G185" s="79" t="s">
        <v>11</v>
      </c>
      <c r="H185" s="79" t="s">
        <v>245</v>
      </c>
      <c r="I185" s="80">
        <f>K185*(1-O185)*(P185+P185/((P185+1)^Q185-1))</f>
        <v>0</v>
      </c>
      <c r="J185" s="72" t="s">
        <v>124</v>
      </c>
      <c r="K185" s="70">
        <f>22.7*M185^0.444*E185</f>
        <v>0</v>
      </c>
      <c r="L185" s="79" t="s">
        <v>120</v>
      </c>
      <c r="M185" s="80">
        <f>IFERROR('計算条件（既存）【例】'!H43/E185,0)</f>
        <v>0</v>
      </c>
      <c r="N185" s="1347" t="s">
        <v>243</v>
      </c>
      <c r="O185" s="81">
        <f>+③基本情報入力【例】!$Y$61</f>
        <v>0.1</v>
      </c>
      <c r="P185" s="82">
        <f>+③基本情報入力【例】!$AB$61</f>
        <v>2.3E-2</v>
      </c>
      <c r="Q185" s="83">
        <f>+③基本情報入力【例】!$AE$61</f>
        <v>20</v>
      </c>
      <c r="R185" s="72" t="s">
        <v>244</v>
      </c>
    </row>
    <row r="186" spans="1:18" ht="15.75">
      <c r="B186" s="1417"/>
      <c r="C186" s="1453"/>
      <c r="D186" s="1349"/>
      <c r="E186" s="407">
        <v>0</v>
      </c>
      <c r="F186" s="78" t="s">
        <v>8</v>
      </c>
      <c r="G186" s="79" t="s">
        <v>11</v>
      </c>
      <c r="H186" s="79" t="s">
        <v>295</v>
      </c>
      <c r="I186" s="80">
        <f>K186*(1-O186)*(P186+P186/((P186+1)^Q186-1))</f>
        <v>0</v>
      </c>
      <c r="J186" s="72" t="s">
        <v>124</v>
      </c>
      <c r="K186" s="70">
        <f>43.4*M186^0.373*E186</f>
        <v>0</v>
      </c>
      <c r="L186" s="79" t="s">
        <v>120</v>
      </c>
      <c r="M186" s="80">
        <f>+M185</f>
        <v>0</v>
      </c>
      <c r="N186" s="1349"/>
      <c r="O186" s="81">
        <f>+③基本情報入力【例】!$Y$63</f>
        <v>0.1</v>
      </c>
      <c r="P186" s="84">
        <f>+③基本情報入力【例】!$AB$63</f>
        <v>2.3E-2</v>
      </c>
      <c r="Q186" s="83">
        <f>+③基本情報入力【例】!$AE$63</f>
        <v>40</v>
      </c>
      <c r="R186" s="72" t="s">
        <v>244</v>
      </c>
    </row>
    <row r="187" spans="1:18" ht="15.75">
      <c r="A187" s="58"/>
      <c r="B187" s="1417"/>
      <c r="C187" s="384" t="s">
        <v>246</v>
      </c>
      <c r="D187" s="72"/>
      <c r="E187" s="404">
        <f>+③基本情報入力【例】!AI53</f>
        <v>4</v>
      </c>
      <c r="F187" s="384" t="s">
        <v>4</v>
      </c>
      <c r="G187" s="79" t="s">
        <v>11</v>
      </c>
      <c r="H187" s="72" t="s">
        <v>292</v>
      </c>
      <c r="I187" s="80">
        <f>K187*(1-O187)*(P187+P187/((P187+1)^Q187-1))</f>
        <v>2.210318934216271</v>
      </c>
      <c r="J187" s="72" t="s">
        <v>124</v>
      </c>
      <c r="K187" s="69">
        <f>17.8*M187^0.464*E187</f>
        <v>30.859759969541244</v>
      </c>
      <c r="L187" s="72" t="s">
        <v>120</v>
      </c>
      <c r="M187" s="80">
        <f>IFERROR('計算条件（既存）【例】'!H43/E187,0)</f>
        <v>0.16500000000000001</v>
      </c>
      <c r="N187" s="385" t="s">
        <v>243</v>
      </c>
      <c r="O187" s="81">
        <f>+③基本情報入力【例】!$Y$62</f>
        <v>0.1</v>
      </c>
      <c r="P187" s="84">
        <f>+③基本情報入力【例】!$AB$62</f>
        <v>2.3E-2</v>
      </c>
      <c r="Q187" s="83">
        <f>+③基本情報入力【例】!$AE$62</f>
        <v>15</v>
      </c>
      <c r="R187" s="72" t="s">
        <v>247</v>
      </c>
    </row>
    <row r="188" spans="1:18" ht="15.75">
      <c r="B188" s="1417"/>
      <c r="C188" s="1407" t="s">
        <v>18</v>
      </c>
      <c r="D188" s="1408" t="s">
        <v>249</v>
      </c>
      <c r="E188" s="404">
        <f>+③基本情報入力【例】!AI55</f>
        <v>0</v>
      </c>
      <c r="F188" s="384" t="s">
        <v>3</v>
      </c>
      <c r="G188" s="79" t="s">
        <v>11</v>
      </c>
      <c r="H188" s="72" t="s">
        <v>134</v>
      </c>
      <c r="I188" s="80">
        <f t="shared" ref="I188:I197" si="6">K188*(1-O188)*(P188+P188/((P188+1)^Q188-1))</f>
        <v>0</v>
      </c>
      <c r="J188" s="72" t="s">
        <v>124</v>
      </c>
      <c r="K188" s="69">
        <f>124*(M188/500)^0.6*E188</f>
        <v>0</v>
      </c>
      <c r="L188" s="72" t="s">
        <v>120</v>
      </c>
      <c r="M188" s="146">
        <f>IFERROR(ROUNDUP('物質収支（既存）【例】'!O10*25,-1)/E188,0)</f>
        <v>0</v>
      </c>
      <c r="N188" s="385" t="s">
        <v>1</v>
      </c>
      <c r="O188" s="81">
        <f>+③基本情報入力【例】!$Y$61</f>
        <v>0.1</v>
      </c>
      <c r="P188" s="82">
        <f>+③基本情報入力【例】!$AB$61</f>
        <v>2.3E-2</v>
      </c>
      <c r="Q188" s="83">
        <f>+③基本情報入力【例】!$AE$61</f>
        <v>20</v>
      </c>
      <c r="R188" s="72" t="s">
        <v>250</v>
      </c>
    </row>
    <row r="189" spans="1:18" ht="15.75">
      <c r="B189" s="1417"/>
      <c r="C189" s="1407"/>
      <c r="D189" s="1408"/>
      <c r="E189" s="407">
        <v>0</v>
      </c>
      <c r="F189" s="384" t="s">
        <v>8</v>
      </c>
      <c r="G189" s="79" t="s">
        <v>11</v>
      </c>
      <c r="H189" s="72" t="s">
        <v>135</v>
      </c>
      <c r="I189" s="80">
        <f t="shared" si="6"/>
        <v>0</v>
      </c>
      <c r="J189" s="72" t="s">
        <v>124</v>
      </c>
      <c r="K189" s="69">
        <f>44.1*(M189/500)^0.6*E189</f>
        <v>0</v>
      </c>
      <c r="L189" s="72" t="s">
        <v>120</v>
      </c>
      <c r="M189" s="146">
        <f>+M188</f>
        <v>0</v>
      </c>
      <c r="N189" s="385" t="s">
        <v>1</v>
      </c>
      <c r="O189" s="81">
        <f>+③基本情報入力【例】!$Y$63</f>
        <v>0.1</v>
      </c>
      <c r="P189" s="84">
        <f>+③基本情報入力【例】!$AB$63</f>
        <v>2.3E-2</v>
      </c>
      <c r="Q189" s="83">
        <f>+③基本情報入力【例】!$AE$63</f>
        <v>40</v>
      </c>
      <c r="R189" s="86"/>
    </row>
    <row r="190" spans="1:18" ht="15.75">
      <c r="B190" s="1417"/>
      <c r="C190" s="384" t="s">
        <v>9</v>
      </c>
      <c r="D190" s="72"/>
      <c r="E190" s="404">
        <f>+③基本情報入力【例】!AI55</f>
        <v>0</v>
      </c>
      <c r="F190" s="384" t="s">
        <v>3</v>
      </c>
      <c r="G190" s="79" t="s">
        <v>11</v>
      </c>
      <c r="H190" s="72" t="s">
        <v>300</v>
      </c>
      <c r="I190" s="80">
        <f t="shared" si="6"/>
        <v>0</v>
      </c>
      <c r="J190" s="72" t="s">
        <v>124</v>
      </c>
      <c r="K190" s="69">
        <f>10.4*M190^0.437*E190</f>
        <v>0</v>
      </c>
      <c r="L190" s="72" t="s">
        <v>120</v>
      </c>
      <c r="M190" s="146">
        <f>IFERROR(ROUNDUP('物質収支（既存）【例】'!O84/2,-1)/E190,0)</f>
        <v>0</v>
      </c>
      <c r="N190" s="385" t="s">
        <v>1</v>
      </c>
      <c r="O190" s="81">
        <f>+③基本情報入力【例】!$Y$61</f>
        <v>0.1</v>
      </c>
      <c r="P190" s="82">
        <f>+③基本情報入力【例】!$AB$61</f>
        <v>2.3E-2</v>
      </c>
      <c r="Q190" s="83">
        <f>+③基本情報入力【例】!$AE$61</f>
        <v>20</v>
      </c>
      <c r="R190" s="74" t="s">
        <v>251</v>
      </c>
    </row>
    <row r="191" spans="1:18" ht="15.75">
      <c r="B191" s="1417"/>
      <c r="C191" s="384" t="s">
        <v>16</v>
      </c>
      <c r="D191" s="72"/>
      <c r="E191" s="404">
        <f>+③基本情報入力【例】!AI55</f>
        <v>0</v>
      </c>
      <c r="F191" s="384" t="s">
        <v>3</v>
      </c>
      <c r="G191" s="79" t="s">
        <v>11</v>
      </c>
      <c r="H191" s="72" t="s">
        <v>299</v>
      </c>
      <c r="I191" s="80">
        <f t="shared" si="6"/>
        <v>0</v>
      </c>
      <c r="J191" s="72" t="s">
        <v>124</v>
      </c>
      <c r="K191" s="69">
        <f>0.878*M191^0.761*E191</f>
        <v>0</v>
      </c>
      <c r="L191" s="72" t="s">
        <v>120</v>
      </c>
      <c r="M191" s="146">
        <f>IFERROR(ROUNDUP('物質収支（既存）【例】'!O84/24,0)/E191,0)</f>
        <v>0</v>
      </c>
      <c r="N191" s="385" t="s">
        <v>298</v>
      </c>
      <c r="O191" s="81">
        <f>+③基本情報入力【例】!$Y$61</f>
        <v>0.1</v>
      </c>
      <c r="P191" s="82">
        <f>+③基本情報入力【例】!$AB$61</f>
        <v>2.3E-2</v>
      </c>
      <c r="Q191" s="83">
        <f>+③基本情報入力【例】!$AE$61</f>
        <v>20</v>
      </c>
      <c r="R191" s="74" t="s">
        <v>252</v>
      </c>
    </row>
    <row r="192" spans="1:18" ht="15.75">
      <c r="A192" s="58"/>
      <c r="B192" s="1417"/>
      <c r="C192" s="1409" t="s">
        <v>10</v>
      </c>
      <c r="D192" s="1412"/>
      <c r="E192" s="404">
        <f>+③基本情報入力【例】!AI56</f>
        <v>0</v>
      </c>
      <c r="F192" s="384" t="s">
        <v>3</v>
      </c>
      <c r="G192" s="79" t="s">
        <v>11</v>
      </c>
      <c r="H192" s="72" t="s">
        <v>297</v>
      </c>
      <c r="I192" s="80">
        <f t="shared" si="6"/>
        <v>0</v>
      </c>
      <c r="J192" s="72" t="s">
        <v>124</v>
      </c>
      <c r="K192" s="69">
        <f>31.9*M192^0.971*E192</f>
        <v>0</v>
      </c>
      <c r="L192" s="72" t="s">
        <v>120</v>
      </c>
      <c r="M192" s="222">
        <f>IFERROR('物質収支（既存）【例】'!O41/E192,0)</f>
        <v>0</v>
      </c>
      <c r="N192" s="385" t="s">
        <v>0</v>
      </c>
      <c r="O192" s="81">
        <f>+③基本情報入力【例】!$Y$61</f>
        <v>0.1</v>
      </c>
      <c r="P192" s="82">
        <f>+③基本情報入力【例】!$AB$61</f>
        <v>2.3E-2</v>
      </c>
      <c r="Q192" s="83">
        <f>+③基本情報入力【例】!$AE$61</f>
        <v>20</v>
      </c>
      <c r="R192" s="72" t="s">
        <v>253</v>
      </c>
    </row>
    <row r="193" spans="1:18" ht="15.75" customHeight="1">
      <c r="A193" s="58"/>
      <c r="B193" s="1417"/>
      <c r="C193" s="1410"/>
      <c r="D193" s="1413"/>
      <c r="E193" s="404">
        <f>+③基本情報入力【例】!AI56</f>
        <v>0</v>
      </c>
      <c r="F193" s="384" t="s">
        <v>4</v>
      </c>
      <c r="G193" s="79" t="s">
        <v>11</v>
      </c>
      <c r="H193" s="72" t="s">
        <v>136</v>
      </c>
      <c r="I193" s="80">
        <f t="shared" si="6"/>
        <v>0</v>
      </c>
      <c r="J193" s="72" t="s">
        <v>124</v>
      </c>
      <c r="K193" s="69">
        <f>6.59*M193^0.809*E193</f>
        <v>0</v>
      </c>
      <c r="L193" s="72" t="s">
        <v>120</v>
      </c>
      <c r="M193" s="222">
        <f>+M192</f>
        <v>0</v>
      </c>
      <c r="N193" s="385" t="s">
        <v>0</v>
      </c>
      <c r="O193" s="81">
        <f>+③基本情報入力【例】!$Y$62</f>
        <v>0.1</v>
      </c>
      <c r="P193" s="84">
        <f>+③基本情報入力【例】!$AB$62</f>
        <v>2.3E-2</v>
      </c>
      <c r="Q193" s="83">
        <f>+③基本情報入力【例】!$AE$62</f>
        <v>15</v>
      </c>
      <c r="R193" s="72"/>
    </row>
    <row r="194" spans="1:18" ht="15.75">
      <c r="A194" s="58"/>
      <c r="B194" s="1417"/>
      <c r="C194" s="1411"/>
      <c r="D194" s="1414"/>
      <c r="E194" s="407">
        <v>0</v>
      </c>
      <c r="F194" s="384" t="s">
        <v>5</v>
      </c>
      <c r="G194" s="79" t="s">
        <v>11</v>
      </c>
      <c r="H194" s="72" t="s">
        <v>137</v>
      </c>
      <c r="I194" s="80">
        <f t="shared" si="6"/>
        <v>0</v>
      </c>
      <c r="J194" s="72" t="s">
        <v>124</v>
      </c>
      <c r="K194" s="69">
        <f>12.3*M194^0.941*E194</f>
        <v>0</v>
      </c>
      <c r="L194" s="72" t="s">
        <v>120</v>
      </c>
      <c r="M194" s="222">
        <f>+M192</f>
        <v>0</v>
      </c>
      <c r="N194" s="385" t="s">
        <v>0</v>
      </c>
      <c r="O194" s="81">
        <f>+③基本情報入力【例】!$Y$63</f>
        <v>0.1</v>
      </c>
      <c r="P194" s="84">
        <f>+③基本情報入力【例】!$AB$63</f>
        <v>2.3E-2</v>
      </c>
      <c r="Q194" s="83">
        <f>+③基本情報入力【例】!$AE$63</f>
        <v>40</v>
      </c>
      <c r="R194" s="72"/>
    </row>
    <row r="195" spans="1:18" ht="15.75">
      <c r="A195" s="58"/>
      <c r="B195" s="1417"/>
      <c r="C195" s="1423" t="s">
        <v>310</v>
      </c>
      <c r="D195" s="1347"/>
      <c r="E195" s="404">
        <f>+③基本情報入力【例】!AI57</f>
        <v>0</v>
      </c>
      <c r="F195" s="384" t="s">
        <v>3</v>
      </c>
      <c r="G195" s="144" t="s">
        <v>11</v>
      </c>
      <c r="H195" s="72" t="s">
        <v>317</v>
      </c>
      <c r="I195" s="94">
        <f t="shared" si="6"/>
        <v>0</v>
      </c>
      <c r="J195" s="97" t="s">
        <v>124</v>
      </c>
      <c r="K195" s="69">
        <f>188.8*M195^0.597*E195</f>
        <v>0</v>
      </c>
      <c r="L195" s="97" t="s">
        <v>120</v>
      </c>
      <c r="M195" s="222">
        <f>IFERROR('物質収支（既存）【例】'!O41/E195,0)</f>
        <v>0</v>
      </c>
      <c r="N195" s="387" t="s">
        <v>0</v>
      </c>
      <c r="O195" s="81">
        <f>+③基本情報入力【例】!$Y$61</f>
        <v>0.1</v>
      </c>
      <c r="P195" s="82">
        <f>+③基本情報入力【例】!$AB$61</f>
        <v>2.3E-2</v>
      </c>
      <c r="Q195" s="83">
        <f>+③基本情報入力【例】!$AE$61</f>
        <v>20</v>
      </c>
      <c r="R195" s="72" t="s">
        <v>316</v>
      </c>
    </row>
    <row r="196" spans="1:18" ht="15.75">
      <c r="A196" s="58"/>
      <c r="B196" s="1417"/>
      <c r="C196" s="1424"/>
      <c r="D196" s="1348"/>
      <c r="E196" s="404">
        <f>+③基本情報入力【例】!AI57</f>
        <v>0</v>
      </c>
      <c r="F196" s="384" t="s">
        <v>4</v>
      </c>
      <c r="G196" s="144" t="s">
        <v>11</v>
      </c>
      <c r="H196" s="72" t="s">
        <v>315</v>
      </c>
      <c r="I196" s="94">
        <f t="shared" si="6"/>
        <v>0</v>
      </c>
      <c r="J196" s="97" t="s">
        <v>124</v>
      </c>
      <c r="K196" s="69">
        <f>72.6*M196^0.539*E196</f>
        <v>0</v>
      </c>
      <c r="L196" s="97" t="s">
        <v>120</v>
      </c>
      <c r="M196" s="222">
        <f>+M195</f>
        <v>0</v>
      </c>
      <c r="N196" s="387" t="s">
        <v>0</v>
      </c>
      <c r="O196" s="81">
        <f>+③基本情報入力【例】!$Y$62</f>
        <v>0.1</v>
      </c>
      <c r="P196" s="84">
        <f>+③基本情報入力【例】!$AB$62</f>
        <v>2.3E-2</v>
      </c>
      <c r="Q196" s="83">
        <f>+③基本情報入力【例】!$AE$62</f>
        <v>15</v>
      </c>
      <c r="R196" s="72"/>
    </row>
    <row r="197" spans="1:18" ht="16.5" thickBot="1">
      <c r="A197" s="58"/>
      <c r="B197" s="1417"/>
      <c r="C197" s="1425"/>
      <c r="D197" s="1426"/>
      <c r="E197" s="116">
        <v>0</v>
      </c>
      <c r="F197" s="390" t="s">
        <v>8</v>
      </c>
      <c r="G197" s="87" t="s">
        <v>11</v>
      </c>
      <c r="H197" s="88" t="s">
        <v>314</v>
      </c>
      <c r="I197" s="89">
        <f t="shared" si="6"/>
        <v>0</v>
      </c>
      <c r="J197" s="88" t="s">
        <v>124</v>
      </c>
      <c r="K197" s="90">
        <f>136.1*M197^0.38*E197</f>
        <v>0</v>
      </c>
      <c r="L197" s="88" t="s">
        <v>120</v>
      </c>
      <c r="M197" s="224">
        <f>+M195</f>
        <v>0</v>
      </c>
      <c r="N197" s="389" t="s">
        <v>0</v>
      </c>
      <c r="O197" s="91">
        <f>+③基本情報入力【例】!$Y$63</f>
        <v>0.1</v>
      </c>
      <c r="P197" s="92">
        <f>+③基本情報入力【例】!$AB$63</f>
        <v>2.3E-2</v>
      </c>
      <c r="Q197" s="93">
        <f>+③基本情報入力【例】!$AE$63</f>
        <v>40</v>
      </c>
      <c r="R197" s="88"/>
    </row>
    <row r="198" spans="1:18" ht="14.25" thickTop="1">
      <c r="A198" s="58"/>
      <c r="B198" s="1418"/>
      <c r="C198" s="1448" t="s">
        <v>259</v>
      </c>
      <c r="D198" s="1449"/>
      <c r="E198" s="1449"/>
      <c r="F198" s="1449"/>
      <c r="G198" s="1449"/>
      <c r="H198" s="1450"/>
      <c r="I198" s="109">
        <f>SUM(I183:I197)</f>
        <v>2.3090363211156251</v>
      </c>
      <c r="J198" s="112" t="s">
        <v>124</v>
      </c>
      <c r="K198" s="111">
        <f>SUM(K183:K197)</f>
        <v>32.602425242657631</v>
      </c>
      <c r="L198" s="112" t="s">
        <v>120</v>
      </c>
      <c r="M198" s="113"/>
      <c r="N198" s="382"/>
      <c r="O198" s="99"/>
      <c r="P198" s="100"/>
      <c r="Q198" s="101"/>
      <c r="R198" s="101"/>
    </row>
    <row r="199" spans="1:18">
      <c r="A199" s="58"/>
      <c r="B199" s="381" t="s">
        <v>260</v>
      </c>
      <c r="C199" s="380" t="s">
        <v>231</v>
      </c>
      <c r="D199" s="380" t="s">
        <v>232</v>
      </c>
      <c r="E199" s="380" t="s">
        <v>233</v>
      </c>
      <c r="F199" s="380" t="s">
        <v>273</v>
      </c>
      <c r="G199" s="1451" t="s">
        <v>235</v>
      </c>
      <c r="H199" s="1452"/>
      <c r="I199" s="1451" t="s">
        <v>237</v>
      </c>
      <c r="J199" s="1452"/>
      <c r="K199" s="1454" t="s">
        <v>291</v>
      </c>
      <c r="L199" s="1455"/>
      <c r="M199" s="1451" t="s">
        <v>97</v>
      </c>
      <c r="N199" s="1456"/>
      <c r="O199" s="1456"/>
      <c r="P199" s="1456"/>
      <c r="Q199" s="1456"/>
      <c r="R199" s="1452"/>
    </row>
    <row r="200" spans="1:18" ht="15.75">
      <c r="A200" s="58"/>
      <c r="B200" s="1435"/>
      <c r="C200" s="384" t="s">
        <v>241</v>
      </c>
      <c r="D200" s="385" t="s">
        <v>242</v>
      </c>
      <c r="E200" s="404">
        <f>+③基本情報入力【例】!AI53</f>
        <v>4</v>
      </c>
      <c r="F200" s="78" t="s">
        <v>262</v>
      </c>
      <c r="G200" s="79" t="s">
        <v>11</v>
      </c>
      <c r="H200" s="72" t="s">
        <v>290</v>
      </c>
      <c r="I200" s="80">
        <f>0.03*K200^0.628*E200</f>
        <v>3.4517182637762878E-2</v>
      </c>
      <c r="J200" s="72" t="s">
        <v>124</v>
      </c>
      <c r="K200" s="80">
        <f>IFERROR('計算条件（既存）【例】'!G43/E200,0)</f>
        <v>0.13750000000000001</v>
      </c>
      <c r="L200" s="385" t="s">
        <v>243</v>
      </c>
      <c r="M200" s="1217" t="s">
        <v>263</v>
      </c>
      <c r="N200" s="1218"/>
      <c r="O200" s="1218"/>
      <c r="P200" s="1218"/>
      <c r="Q200" s="1218"/>
      <c r="R200" s="1422"/>
    </row>
    <row r="201" spans="1:18" ht="15.75">
      <c r="A201" s="58"/>
      <c r="B201" s="1435"/>
      <c r="C201" s="384" t="s">
        <v>22</v>
      </c>
      <c r="D201" s="385"/>
      <c r="E201" s="404">
        <f>+③基本情報入力【例】!AI54</f>
        <v>0</v>
      </c>
      <c r="F201" s="78" t="s">
        <v>308</v>
      </c>
      <c r="G201" s="79" t="s">
        <v>11</v>
      </c>
      <c r="H201" s="72" t="s">
        <v>142</v>
      </c>
      <c r="I201" s="80">
        <f>0.039*K201^0.596*E201</f>
        <v>0</v>
      </c>
      <c r="J201" s="72" t="s">
        <v>124</v>
      </c>
      <c r="K201" s="80">
        <f>IFERROR('計算条件（既存）【例】'!G43*365/E201,0)</f>
        <v>0</v>
      </c>
      <c r="L201" s="385" t="s">
        <v>265</v>
      </c>
      <c r="M201" s="1217" t="s">
        <v>266</v>
      </c>
      <c r="N201" s="1218"/>
      <c r="O201" s="1218"/>
      <c r="P201" s="1218"/>
      <c r="Q201" s="1218"/>
      <c r="R201" s="1422"/>
    </row>
    <row r="202" spans="1:18" ht="15.75">
      <c r="A202" s="58"/>
      <c r="B202" s="1435"/>
      <c r="C202" s="384" t="s">
        <v>246</v>
      </c>
      <c r="D202" s="72"/>
      <c r="E202" s="404">
        <f>+E200</f>
        <v>4</v>
      </c>
      <c r="F202" s="384" t="s">
        <v>267</v>
      </c>
      <c r="G202" s="79" t="s">
        <v>11</v>
      </c>
      <c r="H202" s="72" t="s">
        <v>141</v>
      </c>
      <c r="I202" s="80">
        <f>0.0024*K202^0.533*E202</f>
        <v>7.7390680939902229E-2</v>
      </c>
      <c r="J202" s="72" t="s">
        <v>124</v>
      </c>
      <c r="K202" s="80">
        <f>IFERROR('計算条件（既存）【例】'!G43*365/E202,0)</f>
        <v>50.187500000000007</v>
      </c>
      <c r="L202" s="385" t="s">
        <v>265</v>
      </c>
      <c r="M202" s="1217" t="s">
        <v>266</v>
      </c>
      <c r="N202" s="1218"/>
      <c r="O202" s="1218"/>
      <c r="P202" s="1218"/>
      <c r="Q202" s="1218"/>
      <c r="R202" s="1422"/>
    </row>
    <row r="203" spans="1:18" ht="15.75">
      <c r="B203" s="1435"/>
      <c r="C203" s="402" t="s">
        <v>18</v>
      </c>
      <c r="D203" s="403" t="s">
        <v>249</v>
      </c>
      <c r="E203" s="404">
        <f>+③基本情報入力【例】!AI55</f>
        <v>0</v>
      </c>
      <c r="F203" s="384" t="s">
        <v>17</v>
      </c>
      <c r="G203" s="79" t="s">
        <v>11</v>
      </c>
      <c r="H203" s="72" t="s">
        <v>313</v>
      </c>
      <c r="I203" s="85">
        <f>0.171*(K203)^0.39*E203</f>
        <v>0</v>
      </c>
      <c r="J203" s="72" t="s">
        <v>124</v>
      </c>
      <c r="K203" s="146">
        <f>IFERROR('計算条件（既存）【例】'!G43*365/E203,0)</f>
        <v>0</v>
      </c>
      <c r="L203" s="385" t="s">
        <v>265</v>
      </c>
      <c r="M203" s="1217" t="s">
        <v>266</v>
      </c>
      <c r="N203" s="1218"/>
      <c r="O203" s="1218"/>
      <c r="P203" s="1218"/>
      <c r="Q203" s="1218"/>
      <c r="R203" s="1422"/>
    </row>
    <row r="204" spans="1:18" ht="15.75">
      <c r="B204" s="1435"/>
      <c r="C204" s="402" t="s">
        <v>9</v>
      </c>
      <c r="D204" s="403"/>
      <c r="E204" s="404">
        <f>+③基本情報入力【例】!AI55</f>
        <v>0</v>
      </c>
      <c r="F204" s="384" t="s">
        <v>13</v>
      </c>
      <c r="G204" s="79" t="s">
        <v>11</v>
      </c>
      <c r="H204" s="402" t="s">
        <v>312</v>
      </c>
      <c r="I204" s="85">
        <f>0.283*K204^0.302*E204</f>
        <v>0</v>
      </c>
      <c r="J204" s="72" t="s">
        <v>124</v>
      </c>
      <c r="K204" s="146">
        <f>IFERROR(ROUNDUP('物質収支（既存）【例】'!O84/2,-1)/E204,0)</f>
        <v>0</v>
      </c>
      <c r="L204" s="385" t="s">
        <v>1</v>
      </c>
      <c r="M204" s="1217" t="s">
        <v>251</v>
      </c>
      <c r="N204" s="1218"/>
      <c r="O204" s="1218"/>
      <c r="P204" s="1218"/>
      <c r="Q204" s="1218"/>
      <c r="R204" s="1422"/>
    </row>
    <row r="205" spans="1:18" ht="15.75">
      <c r="B205" s="1435"/>
      <c r="C205" s="402" t="s">
        <v>16</v>
      </c>
      <c r="D205" s="403"/>
      <c r="E205" s="404">
        <f>+③基本情報入力【例】!AI55</f>
        <v>0</v>
      </c>
      <c r="F205" s="384" t="s">
        <v>13</v>
      </c>
      <c r="G205" s="79" t="s">
        <v>11</v>
      </c>
      <c r="H205" s="402" t="s">
        <v>311</v>
      </c>
      <c r="I205" s="85">
        <f>0.0796*K205^0.761*E205</f>
        <v>0</v>
      </c>
      <c r="J205" s="72" t="s">
        <v>124</v>
      </c>
      <c r="K205" s="146">
        <f>IFERROR(ROUNDUP('物質収支（既存）【例】'!O84/24,0)/E205,0)</f>
        <v>0</v>
      </c>
      <c r="L205" s="385" t="s">
        <v>298</v>
      </c>
      <c r="M205" s="1217" t="s">
        <v>252</v>
      </c>
      <c r="N205" s="1218"/>
      <c r="O205" s="1218"/>
      <c r="P205" s="1218"/>
      <c r="Q205" s="1218"/>
      <c r="R205" s="1422"/>
    </row>
    <row r="206" spans="1:18" ht="15.75">
      <c r="B206" s="1435"/>
      <c r="C206" s="402" t="s">
        <v>10</v>
      </c>
      <c r="D206" s="403"/>
      <c r="E206" s="404">
        <f>+③基本情報入力【例】!AI56</f>
        <v>0</v>
      </c>
      <c r="F206" s="384" t="s">
        <v>17</v>
      </c>
      <c r="G206" s="79" t="s">
        <v>11</v>
      </c>
      <c r="H206" s="72" t="s">
        <v>140</v>
      </c>
      <c r="I206" s="85">
        <f>0.362*K206^0.585*E206</f>
        <v>0</v>
      </c>
      <c r="J206" s="72" t="s">
        <v>124</v>
      </c>
      <c r="K206" s="222">
        <f>IFERROR('物質収支（既存）【例】'!O41*365/E206,0)</f>
        <v>0</v>
      </c>
      <c r="L206" s="385" t="s">
        <v>562</v>
      </c>
      <c r="M206" s="1217" t="s">
        <v>268</v>
      </c>
      <c r="N206" s="1218"/>
      <c r="O206" s="1218"/>
      <c r="P206" s="1218"/>
      <c r="Q206" s="1218"/>
      <c r="R206" s="1422"/>
    </row>
    <row r="207" spans="1:18" ht="16.5" thickBot="1">
      <c r="B207" s="1435"/>
      <c r="C207" s="390" t="s">
        <v>310</v>
      </c>
      <c r="D207" s="389"/>
      <c r="E207" s="116">
        <f>+③基本情報入力【例】!AI57</f>
        <v>0</v>
      </c>
      <c r="F207" s="390" t="s">
        <v>264</v>
      </c>
      <c r="G207" s="87" t="s">
        <v>11</v>
      </c>
      <c r="H207" s="88" t="s">
        <v>351</v>
      </c>
      <c r="I207" s="272">
        <f>0.287*K207^0.673*E207</f>
        <v>0</v>
      </c>
      <c r="J207" s="88" t="s">
        <v>124</v>
      </c>
      <c r="K207" s="224">
        <f>IFERROR('物質収支（既存）【例】'!O41*365/E207,0)</f>
        <v>0</v>
      </c>
      <c r="L207" s="389" t="s">
        <v>562</v>
      </c>
      <c r="M207" s="1437" t="s">
        <v>309</v>
      </c>
      <c r="N207" s="1438"/>
      <c r="O207" s="1438"/>
      <c r="P207" s="1438"/>
      <c r="Q207" s="1438"/>
      <c r="R207" s="1439"/>
    </row>
    <row r="208" spans="1:18" ht="14.25" thickTop="1">
      <c r="A208" s="58"/>
      <c r="B208" s="1436"/>
      <c r="C208" s="1427" t="s">
        <v>259</v>
      </c>
      <c r="D208" s="1428"/>
      <c r="E208" s="1428"/>
      <c r="F208" s="1428"/>
      <c r="G208" s="1428"/>
      <c r="H208" s="1429"/>
      <c r="I208" s="109">
        <f>SUM(I200:I207)</f>
        <v>0.11190786357766511</v>
      </c>
      <c r="J208" s="112" t="s">
        <v>124</v>
      </c>
      <c r="K208" s="118"/>
      <c r="L208" s="382"/>
      <c r="M208" s="1431"/>
      <c r="N208" s="1431"/>
      <c r="O208" s="1431"/>
      <c r="P208" s="1431"/>
      <c r="Q208" s="1431"/>
      <c r="R208" s="1431"/>
    </row>
    <row r="210" spans="1:18">
      <c r="A210" s="58"/>
      <c r="B210" s="58" t="s">
        <v>307</v>
      </c>
    </row>
    <row r="211" spans="1:18">
      <c r="A211" s="58"/>
      <c r="B211" s="400" t="s">
        <v>230</v>
      </c>
      <c r="C211" s="383" t="s">
        <v>231</v>
      </c>
      <c r="D211" s="383" t="s">
        <v>232</v>
      </c>
      <c r="E211" s="397" t="s">
        <v>233</v>
      </c>
      <c r="F211" s="383" t="s">
        <v>23</v>
      </c>
      <c r="G211" s="1444" t="s">
        <v>235</v>
      </c>
      <c r="H211" s="1445"/>
      <c r="I211" s="1415" t="s">
        <v>236</v>
      </c>
      <c r="J211" s="1415"/>
      <c r="K211" s="1415" t="s">
        <v>237</v>
      </c>
      <c r="L211" s="1415"/>
      <c r="M211" s="1416" t="s">
        <v>291</v>
      </c>
      <c r="N211" s="1416"/>
      <c r="O211" s="77" t="s">
        <v>238</v>
      </c>
      <c r="P211" s="77" t="s">
        <v>239</v>
      </c>
      <c r="Q211" s="77" t="s">
        <v>240</v>
      </c>
      <c r="R211" s="383" t="s">
        <v>97</v>
      </c>
    </row>
    <row r="212" spans="1:18" ht="16.5" thickBot="1">
      <c r="A212" s="58"/>
      <c r="B212" s="1417"/>
      <c r="C212" s="390" t="s">
        <v>96</v>
      </c>
      <c r="D212" s="88"/>
      <c r="E212" s="116">
        <v>0</v>
      </c>
      <c r="F212" s="390" t="s">
        <v>306</v>
      </c>
      <c r="G212" s="87" t="s">
        <v>11</v>
      </c>
      <c r="H212" s="127" t="s">
        <v>305</v>
      </c>
      <c r="I212" s="89">
        <f>K212*(1-O212)*(P212+P212/((P212+1)^Q212-1))</f>
        <v>0</v>
      </c>
      <c r="J212" s="88" t="s">
        <v>124</v>
      </c>
      <c r="K212" s="90">
        <f>IF(M212=0,0,(-0.087*M212^2+59.53*M212+258)*E212)</f>
        <v>0</v>
      </c>
      <c r="L212" s="88" t="s">
        <v>120</v>
      </c>
      <c r="M212" s="89">
        <f>IFERROR('計算条件（既存）【例】'!H61/E212,0)</f>
        <v>0</v>
      </c>
      <c r="N212" s="389" t="s">
        <v>0</v>
      </c>
      <c r="O212" s="91">
        <f>+③基本情報入力【例】!$Y$62</f>
        <v>0.1</v>
      </c>
      <c r="P212" s="92">
        <f>+③基本情報入力【例】!$AB$62</f>
        <v>2.3E-2</v>
      </c>
      <c r="Q212" s="93">
        <f>+③基本情報入力【例】!$AE$62</f>
        <v>15</v>
      </c>
      <c r="R212" s="88" t="s">
        <v>304</v>
      </c>
    </row>
    <row r="213" spans="1:18" ht="14.25" thickTop="1">
      <c r="A213" s="58"/>
      <c r="B213" s="1418"/>
      <c r="C213" s="1448" t="s">
        <v>352</v>
      </c>
      <c r="D213" s="1449"/>
      <c r="E213" s="1449"/>
      <c r="F213" s="1449"/>
      <c r="G213" s="1449"/>
      <c r="H213" s="1450"/>
      <c r="I213" s="138">
        <f>SUM(I212:I212)</f>
        <v>0</v>
      </c>
      <c r="J213" s="112" t="s">
        <v>124</v>
      </c>
      <c r="K213" s="111">
        <f>+K212</f>
        <v>0</v>
      </c>
      <c r="L213" s="112" t="s">
        <v>120</v>
      </c>
    </row>
    <row r="215" spans="1:18">
      <c r="B215" s="58" t="s">
        <v>340</v>
      </c>
    </row>
    <row r="216" spans="1:18">
      <c r="B216" s="400" t="s">
        <v>230</v>
      </c>
      <c r="C216" s="383" t="s">
        <v>231</v>
      </c>
      <c r="D216" s="383" t="s">
        <v>232</v>
      </c>
      <c r="E216" s="397" t="s">
        <v>233</v>
      </c>
      <c r="F216" s="383" t="s">
        <v>23</v>
      </c>
      <c r="G216" s="397" t="s">
        <v>235</v>
      </c>
      <c r="H216" s="383" t="s">
        <v>211</v>
      </c>
      <c r="I216" s="1415" t="s">
        <v>236</v>
      </c>
      <c r="J216" s="1415"/>
      <c r="K216" s="1415" t="s">
        <v>237</v>
      </c>
      <c r="L216" s="1415"/>
      <c r="M216" s="1416" t="s">
        <v>291</v>
      </c>
      <c r="N216" s="1416"/>
      <c r="O216" s="77" t="s">
        <v>238</v>
      </c>
      <c r="P216" s="77" t="s">
        <v>239</v>
      </c>
      <c r="Q216" s="77" t="s">
        <v>240</v>
      </c>
      <c r="R216" s="383" t="s">
        <v>97</v>
      </c>
    </row>
    <row r="217" spans="1:18">
      <c r="B217" s="1457"/>
      <c r="C217" s="1459" t="s">
        <v>41</v>
      </c>
      <c r="D217" s="1221"/>
      <c r="E217" s="404">
        <v>1</v>
      </c>
      <c r="F217" s="78" t="s">
        <v>415</v>
      </c>
      <c r="G217" s="1462" t="s">
        <v>271</v>
      </c>
      <c r="H217" s="1464">
        <f>IF(M217&lt;40,44000,IF(AND(M217&gt;=40,M217&lt;=99),33000,IF(M217&gt;=100,28000)))</f>
        <v>44000</v>
      </c>
      <c r="I217" s="80">
        <f>K217*(1-O217)*(P217+P217/((P217+1)^Q217-1))</f>
        <v>51.59441539059506</v>
      </c>
      <c r="J217" s="72" t="s">
        <v>124</v>
      </c>
      <c r="K217" s="70">
        <f>H217*M217/1000*0.75*E217</f>
        <v>910.80000000000007</v>
      </c>
      <c r="L217" s="72" t="s">
        <v>120</v>
      </c>
      <c r="M217" s="80">
        <f>IFERROR(('計算条件（既存）【例】'!H46+'計算条件（既存）【例】'!H51+'計算条件（既存）【例】'!H56)/E217,0)</f>
        <v>27.6</v>
      </c>
      <c r="N217" s="385" t="s">
        <v>0</v>
      </c>
      <c r="O217" s="81">
        <v>0.1</v>
      </c>
      <c r="P217" s="82">
        <v>2.3E-2</v>
      </c>
      <c r="Q217" s="83">
        <v>20</v>
      </c>
      <c r="R217" s="72" t="s">
        <v>436</v>
      </c>
    </row>
    <row r="218" spans="1:18" ht="14.25" thickBot="1">
      <c r="A218" s="58"/>
      <c r="B218" s="1457"/>
      <c r="C218" s="1460"/>
      <c r="D218" s="1461"/>
      <c r="E218" s="218">
        <v>0</v>
      </c>
      <c r="F218" s="217" t="s">
        <v>8</v>
      </c>
      <c r="G218" s="1463"/>
      <c r="H218" s="1465"/>
      <c r="I218" s="89">
        <f>K218*(1-O218)*(P218+P218/((P218+1)^Q218-1))</f>
        <v>0</v>
      </c>
      <c r="J218" s="88" t="s">
        <v>124</v>
      </c>
      <c r="K218" s="216">
        <f>H217*M218/1000*0.25*E218</f>
        <v>0</v>
      </c>
      <c r="L218" s="88" t="s">
        <v>120</v>
      </c>
      <c r="M218" s="89">
        <f>+M217</f>
        <v>27.6</v>
      </c>
      <c r="N218" s="389" t="s">
        <v>0</v>
      </c>
      <c r="O218" s="91">
        <v>0.1</v>
      </c>
      <c r="P218" s="92">
        <v>2.3E-2</v>
      </c>
      <c r="Q218" s="93">
        <v>40</v>
      </c>
      <c r="R218" s="88" t="s">
        <v>436</v>
      </c>
    </row>
    <row r="219" spans="1:18" ht="14.25" thickTop="1">
      <c r="A219" s="58"/>
      <c r="B219" s="1458"/>
      <c r="C219" s="1427" t="s">
        <v>259</v>
      </c>
      <c r="D219" s="1428"/>
      <c r="E219" s="1428"/>
      <c r="F219" s="1428"/>
      <c r="G219" s="1428"/>
      <c r="H219" s="1429"/>
      <c r="I219" s="109">
        <f>SUM(I217:I217)</f>
        <v>51.59441539059506</v>
      </c>
      <c r="J219" s="112" t="s">
        <v>124</v>
      </c>
      <c r="K219" s="111">
        <f>+K217</f>
        <v>910.80000000000007</v>
      </c>
      <c r="L219" s="112" t="s">
        <v>120</v>
      </c>
    </row>
    <row r="220" spans="1:18">
      <c r="A220" s="58"/>
      <c r="B220" s="396" t="s">
        <v>260</v>
      </c>
      <c r="C220" s="395" t="s">
        <v>231</v>
      </c>
      <c r="D220" s="396" t="s">
        <v>232</v>
      </c>
      <c r="E220" s="394" t="s">
        <v>233</v>
      </c>
      <c r="F220" s="396" t="s">
        <v>273</v>
      </c>
      <c r="G220" s="1469" t="s">
        <v>235</v>
      </c>
      <c r="H220" s="1470"/>
      <c r="I220" s="1471" t="s">
        <v>237</v>
      </c>
      <c r="J220" s="1471"/>
      <c r="K220" s="1472" t="s">
        <v>291</v>
      </c>
      <c r="L220" s="1472"/>
      <c r="M220" s="1432" t="s">
        <v>97</v>
      </c>
      <c r="N220" s="1432"/>
      <c r="O220" s="1432"/>
      <c r="P220" s="1432"/>
      <c r="Q220" s="1432"/>
      <c r="R220" s="1432"/>
    </row>
    <row r="221" spans="1:18" ht="14.25" thickBot="1">
      <c r="A221" s="58"/>
      <c r="B221" s="1435"/>
      <c r="C221" s="390" t="s">
        <v>41</v>
      </c>
      <c r="D221" s="389"/>
      <c r="E221" s="116">
        <v>1</v>
      </c>
      <c r="F221" s="214" t="s">
        <v>437</v>
      </c>
      <c r="G221" s="213" t="s">
        <v>271</v>
      </c>
      <c r="H221" s="215">
        <v>7800</v>
      </c>
      <c r="I221" s="89">
        <f>H221*K221/1000000*E221</f>
        <v>65.480999999999995</v>
      </c>
      <c r="J221" s="88" t="s">
        <v>124</v>
      </c>
      <c r="K221" s="89">
        <f>IFERROR(('計算条件（既存）【例】'!G46+'計算条件（既存）【例】'!G51+'計算条件（既存）【例】'!G56)*365/E217,0)</f>
        <v>8395</v>
      </c>
      <c r="L221" s="389" t="s">
        <v>122</v>
      </c>
      <c r="M221" s="1437" t="s">
        <v>438</v>
      </c>
      <c r="N221" s="1438"/>
      <c r="O221" s="1438"/>
      <c r="P221" s="1438"/>
      <c r="Q221" s="1438"/>
      <c r="R221" s="1439"/>
    </row>
    <row r="222" spans="1:18" ht="14.25" thickTop="1">
      <c r="A222" s="58"/>
      <c r="B222" s="1436"/>
      <c r="C222" s="1427" t="s">
        <v>259</v>
      </c>
      <c r="D222" s="1428"/>
      <c r="E222" s="1428"/>
      <c r="F222" s="1428"/>
      <c r="G222" s="1428"/>
      <c r="H222" s="1429"/>
      <c r="I222" s="109">
        <f>SUM(I221:I221)</f>
        <v>65.480999999999995</v>
      </c>
      <c r="J222" s="112" t="s">
        <v>124</v>
      </c>
    </row>
    <row r="223" spans="1:18">
      <c r="A223" s="58"/>
      <c r="M223" s="136"/>
    </row>
    <row r="224" spans="1:18">
      <c r="A224" s="58"/>
      <c r="B224" s="58" t="s">
        <v>274</v>
      </c>
    </row>
    <row r="225" spans="1:18">
      <c r="A225" s="58"/>
      <c r="B225" s="128" t="s">
        <v>130</v>
      </c>
      <c r="C225" s="388" t="s">
        <v>275</v>
      </c>
      <c r="D225" s="1466" t="s">
        <v>303</v>
      </c>
      <c r="E225" s="1466"/>
      <c r="F225" s="388" t="s">
        <v>23</v>
      </c>
      <c r="G225" s="1466" t="s">
        <v>276</v>
      </c>
      <c r="H225" s="1466"/>
      <c r="I225" s="1467" t="s">
        <v>277</v>
      </c>
      <c r="J225" s="1467"/>
      <c r="K225" s="1468" t="s">
        <v>291</v>
      </c>
      <c r="L225" s="1468"/>
      <c r="M225" s="1467" t="s">
        <v>278</v>
      </c>
      <c r="N225" s="1467"/>
      <c r="O225" s="1466" t="s">
        <v>97</v>
      </c>
      <c r="P225" s="1466"/>
      <c r="Q225" s="1466"/>
      <c r="R225" s="1466"/>
    </row>
    <row r="226" spans="1:18">
      <c r="A226" s="58"/>
      <c r="B226" s="1477"/>
      <c r="C226" s="149" t="str">
        <f>+③基本情報入力【例】!L29</f>
        <v>A市・B町・C町</v>
      </c>
      <c r="D226" s="1479" t="str">
        <f>+③基本情報入力【例】!L30</f>
        <v>し尿</v>
      </c>
      <c r="E226" s="1480"/>
      <c r="F226" s="72" t="s">
        <v>207</v>
      </c>
      <c r="G226" s="1222" t="s">
        <v>271</v>
      </c>
      <c r="H226" s="1224"/>
      <c r="I226" s="129">
        <f t="shared" ref="I226:I231" si="7">IFERROR(ROUND(M226*K226/10^6,1),"")</f>
        <v>12.6</v>
      </c>
      <c r="J226" s="72" t="s">
        <v>124</v>
      </c>
      <c r="K226" s="103">
        <f>+③基本情報入力【例】!L38</f>
        <v>1095</v>
      </c>
      <c r="L226" s="72" t="s">
        <v>122</v>
      </c>
      <c r="M226" s="69">
        <f>+IFERROR(③基本情報入力【例】!L39*1000,"")</f>
        <v>11500</v>
      </c>
      <c r="N226" s="384" t="s">
        <v>126</v>
      </c>
      <c r="O226" s="1474"/>
      <c r="P226" s="1475"/>
      <c r="Q226" s="1475"/>
      <c r="R226" s="1476"/>
    </row>
    <row r="227" spans="1:18">
      <c r="A227" s="58"/>
      <c r="B227" s="1477"/>
      <c r="C227" s="150" t="str">
        <f>+③基本情報入力【例】!Q29</f>
        <v>A市・B町・C町</v>
      </c>
      <c r="D227" s="1473" t="str">
        <f>+③基本情報入力【例】!Q30</f>
        <v>浄化槽汚泥</v>
      </c>
      <c r="E227" s="1473"/>
      <c r="F227" s="72" t="s">
        <v>207</v>
      </c>
      <c r="G227" s="1221" t="s">
        <v>271</v>
      </c>
      <c r="H227" s="1221"/>
      <c r="I227" s="129">
        <f t="shared" si="7"/>
        <v>63</v>
      </c>
      <c r="J227" s="72" t="s">
        <v>124</v>
      </c>
      <c r="K227" s="103">
        <f>+③基本情報入力【例】!Q38</f>
        <v>5475</v>
      </c>
      <c r="L227" s="72" t="s">
        <v>122</v>
      </c>
      <c r="M227" s="69">
        <f>+IFERROR(③基本情報入力【例】!L39*1000,"")</f>
        <v>11500</v>
      </c>
      <c r="N227" s="384" t="s">
        <v>126</v>
      </c>
      <c r="O227" s="1474"/>
      <c r="P227" s="1475"/>
      <c r="Q227" s="1475"/>
      <c r="R227" s="1476"/>
    </row>
    <row r="228" spans="1:18">
      <c r="A228" s="58"/>
      <c r="B228" s="1477"/>
      <c r="C228" s="150" t="str">
        <f>+③基本情報入力【例】!V29</f>
        <v>A市・B町・C町</v>
      </c>
      <c r="D228" s="1473" t="str">
        <f>+③基本情報入力【例】!V30</f>
        <v>集落排水汚泥</v>
      </c>
      <c r="E228" s="1473"/>
      <c r="F228" s="72" t="s">
        <v>207</v>
      </c>
      <c r="G228" s="1221" t="s">
        <v>271</v>
      </c>
      <c r="H228" s="1221"/>
      <c r="I228" s="129">
        <f t="shared" si="7"/>
        <v>13.7</v>
      </c>
      <c r="J228" s="72" t="s">
        <v>124</v>
      </c>
      <c r="K228" s="103">
        <f>+③基本情報入力【例】!V38</f>
        <v>1825</v>
      </c>
      <c r="L228" s="72" t="s">
        <v>125</v>
      </c>
      <c r="M228" s="69">
        <f>+IFERROR(③基本情報入力【例】!V39*1000,"")</f>
        <v>7500</v>
      </c>
      <c r="N228" s="384" t="s">
        <v>126</v>
      </c>
      <c r="O228" s="1474"/>
      <c r="P228" s="1475"/>
      <c r="Q228" s="1475"/>
      <c r="R228" s="1476"/>
    </row>
    <row r="229" spans="1:18">
      <c r="A229" s="58"/>
      <c r="B229" s="1477"/>
      <c r="C229" s="150" t="str">
        <f>+③基本情報入力【例】!AA29</f>
        <v>A市・B町・C町</v>
      </c>
      <c r="D229" s="1473" t="str">
        <f>+③基本情報入力【例】!AA30</f>
        <v>生ごみ</v>
      </c>
      <c r="E229" s="1473"/>
      <c r="F229" s="72" t="s">
        <v>207</v>
      </c>
      <c r="G229" s="1221" t="s">
        <v>271</v>
      </c>
      <c r="H229" s="1221"/>
      <c r="I229" s="129">
        <f t="shared" si="7"/>
        <v>16.2</v>
      </c>
      <c r="J229" s="72" t="s">
        <v>124</v>
      </c>
      <c r="K229" s="103">
        <f>+③基本情報入力【例】!AA38</f>
        <v>1460</v>
      </c>
      <c r="L229" s="72" t="s">
        <v>125</v>
      </c>
      <c r="M229" s="69">
        <f>+IFERROR(③基本情報入力【例】!AA39*1000,"")</f>
        <v>11100</v>
      </c>
      <c r="N229" s="384" t="s">
        <v>126</v>
      </c>
      <c r="O229" s="1474"/>
      <c r="P229" s="1475"/>
      <c r="Q229" s="1475"/>
      <c r="R229" s="1476"/>
    </row>
    <row r="230" spans="1:18">
      <c r="A230" s="58"/>
      <c r="B230" s="1477"/>
      <c r="C230" s="151"/>
      <c r="D230" s="1473"/>
      <c r="E230" s="1473"/>
      <c r="F230" s="72" t="s">
        <v>207</v>
      </c>
      <c r="G230" s="1221" t="s">
        <v>271</v>
      </c>
      <c r="H230" s="1221"/>
      <c r="I230" s="129">
        <f t="shared" si="7"/>
        <v>0</v>
      </c>
      <c r="J230" s="72" t="s">
        <v>124</v>
      </c>
      <c r="K230" s="103"/>
      <c r="L230" s="72" t="s">
        <v>125</v>
      </c>
      <c r="M230" s="69"/>
      <c r="N230" s="384" t="s">
        <v>126</v>
      </c>
      <c r="O230" s="1474"/>
      <c r="P230" s="1475"/>
      <c r="Q230" s="1475"/>
      <c r="R230" s="1476"/>
    </row>
    <row r="231" spans="1:18" ht="14.25" thickBot="1">
      <c r="A231" s="58"/>
      <c r="B231" s="1477"/>
      <c r="C231" s="321"/>
      <c r="D231" s="1481"/>
      <c r="E231" s="1481"/>
      <c r="F231" s="88" t="s">
        <v>207</v>
      </c>
      <c r="G231" s="1461" t="s">
        <v>271</v>
      </c>
      <c r="H231" s="1461"/>
      <c r="I231" s="322">
        <f t="shared" si="7"/>
        <v>0</v>
      </c>
      <c r="J231" s="88" t="s">
        <v>124</v>
      </c>
      <c r="K231" s="130"/>
      <c r="L231" s="88" t="s">
        <v>125</v>
      </c>
      <c r="M231" s="90"/>
      <c r="N231" s="390" t="s">
        <v>126</v>
      </c>
      <c r="O231" s="1482"/>
      <c r="P231" s="1483"/>
      <c r="Q231" s="1483"/>
      <c r="R231" s="1484"/>
    </row>
    <row r="232" spans="1:18" ht="14.25" thickTop="1">
      <c r="A232" s="58"/>
      <c r="B232" s="1478"/>
      <c r="C232" s="1427" t="s">
        <v>259</v>
      </c>
      <c r="D232" s="1428"/>
      <c r="E232" s="1428"/>
      <c r="F232" s="1428"/>
      <c r="G232" s="1428"/>
      <c r="H232" s="1429"/>
      <c r="I232" s="137">
        <f>SUM(I226:I231)</f>
        <v>105.5</v>
      </c>
      <c r="J232" s="112" t="s">
        <v>124</v>
      </c>
      <c r="M232" s="58" t="s">
        <v>195</v>
      </c>
    </row>
    <row r="233" spans="1:18">
      <c r="A233" s="58"/>
    </row>
    <row r="234" spans="1:18">
      <c r="A234" s="58"/>
      <c r="B234" s="58" t="s">
        <v>335</v>
      </c>
    </row>
    <row r="235" spans="1:18">
      <c r="A235" s="58"/>
      <c r="B235" s="128" t="s">
        <v>131</v>
      </c>
      <c r="C235" s="388" t="s">
        <v>275</v>
      </c>
      <c r="D235" s="1466" t="s">
        <v>302</v>
      </c>
      <c r="E235" s="1466"/>
      <c r="F235" s="388" t="s">
        <v>23</v>
      </c>
      <c r="G235" s="1466" t="s">
        <v>276</v>
      </c>
      <c r="H235" s="1466"/>
      <c r="I235" s="1467" t="s">
        <v>277</v>
      </c>
      <c r="J235" s="1467"/>
      <c r="K235" s="1468" t="s">
        <v>291</v>
      </c>
      <c r="L235" s="1468"/>
      <c r="M235" s="1467" t="s">
        <v>278</v>
      </c>
      <c r="N235" s="1467"/>
      <c r="O235" s="1466" t="s">
        <v>97</v>
      </c>
      <c r="P235" s="1466"/>
      <c r="Q235" s="1466"/>
      <c r="R235" s="1466"/>
    </row>
    <row r="236" spans="1:18">
      <c r="A236" s="58"/>
      <c r="B236" s="131"/>
      <c r="C236" s="72" t="str">
        <f>+③基本情報入力【例】!L12</f>
        <v>A市浄化センター</v>
      </c>
      <c r="D236" s="1221" t="str">
        <f>+③基本情報入力【例】!Q13</f>
        <v>脱水汚泥</v>
      </c>
      <c r="E236" s="1221"/>
      <c r="F236" s="72" t="s">
        <v>281</v>
      </c>
      <c r="G236" s="1221" t="s">
        <v>271</v>
      </c>
      <c r="H236" s="1221"/>
      <c r="I236" s="72">
        <f t="shared" ref="I236:I251" si="8">IFERROR(ROUND(K236*M236/10^6,1),"")</f>
        <v>19.5</v>
      </c>
      <c r="J236" s="72" t="s">
        <v>124</v>
      </c>
      <c r="K236" s="69">
        <f>+③基本情報入力【例】!L21</f>
        <v>912.5</v>
      </c>
      <c r="L236" s="72" t="s">
        <v>125</v>
      </c>
      <c r="M236" s="103">
        <f>IFERROR(③基本情報入力【例】!Q23*1000,"")</f>
        <v>21400</v>
      </c>
      <c r="N236" s="72" t="s">
        <v>126</v>
      </c>
      <c r="O236" s="1419"/>
      <c r="P236" s="1419"/>
      <c r="Q236" s="1419"/>
      <c r="R236" s="1419"/>
    </row>
    <row r="237" spans="1:18">
      <c r="A237" s="58"/>
      <c r="B237" s="131"/>
      <c r="C237" s="72" t="str">
        <f>+③基本情報入力【例】!V12</f>
        <v>B町中央浄化センター</v>
      </c>
      <c r="D237" s="1221" t="str">
        <f>+③基本情報入力【例】!V13</f>
        <v>脱水汚泥</v>
      </c>
      <c r="E237" s="1221"/>
      <c r="F237" s="72" t="s">
        <v>281</v>
      </c>
      <c r="G237" s="1221" t="s">
        <v>271</v>
      </c>
      <c r="H237" s="1221"/>
      <c r="I237" s="72">
        <f t="shared" si="8"/>
        <v>7.8</v>
      </c>
      <c r="J237" s="72" t="s">
        <v>124</v>
      </c>
      <c r="K237" s="69">
        <f>+③基本情報入力【例】!V21</f>
        <v>365</v>
      </c>
      <c r="L237" s="72" t="s">
        <v>125</v>
      </c>
      <c r="M237" s="103">
        <f>IFERROR(③基本情報入力【例】!V23*1000,"")</f>
        <v>21400</v>
      </c>
      <c r="N237" s="72" t="s">
        <v>126</v>
      </c>
      <c r="O237" s="1419"/>
      <c r="P237" s="1419"/>
      <c r="Q237" s="1419"/>
      <c r="R237" s="1419"/>
    </row>
    <row r="238" spans="1:18">
      <c r="A238" s="58"/>
      <c r="B238" s="131"/>
      <c r="C238" s="72" t="str">
        <f>+③基本情報入力【例】!AA12</f>
        <v>B町浄化センター</v>
      </c>
      <c r="D238" s="1221" t="str">
        <f>+③基本情報入力【例】!AA13</f>
        <v>脱水汚泥</v>
      </c>
      <c r="E238" s="1221"/>
      <c r="F238" s="72" t="s">
        <v>281</v>
      </c>
      <c r="G238" s="1221" t="s">
        <v>271</v>
      </c>
      <c r="H238" s="1221"/>
      <c r="I238" s="72">
        <f t="shared" si="8"/>
        <v>5.5</v>
      </c>
      <c r="J238" s="72" t="s">
        <v>124</v>
      </c>
      <c r="K238" s="69">
        <f>+③基本情報入力【例】!AA21</f>
        <v>255.5</v>
      </c>
      <c r="L238" s="72" t="s">
        <v>125</v>
      </c>
      <c r="M238" s="103">
        <f>IFERROR(③基本情報入力【例】!AA23*1000,"")</f>
        <v>21400</v>
      </c>
      <c r="N238" s="72" t="s">
        <v>126</v>
      </c>
      <c r="O238" s="1419"/>
      <c r="P238" s="1419"/>
      <c r="Q238" s="1419"/>
      <c r="R238" s="1419"/>
    </row>
    <row r="239" spans="1:18">
      <c r="A239" s="58"/>
      <c r="B239" s="131"/>
      <c r="C239" s="72" t="str">
        <f>+③基本情報入力【例】!AF12</f>
        <v>C町西浄化センター</v>
      </c>
      <c r="D239" s="1221" t="str">
        <f>+③基本情報入力【例】!AF13</f>
        <v>脱水汚泥</v>
      </c>
      <c r="E239" s="1221"/>
      <c r="F239" s="72" t="s">
        <v>281</v>
      </c>
      <c r="G239" s="1221" t="s">
        <v>271</v>
      </c>
      <c r="H239" s="1221"/>
      <c r="I239" s="72">
        <f t="shared" si="8"/>
        <v>3.9</v>
      </c>
      <c r="J239" s="72" t="s">
        <v>124</v>
      </c>
      <c r="K239" s="69">
        <f>+③基本情報入力【例】!AF21</f>
        <v>182.5</v>
      </c>
      <c r="L239" s="72" t="s">
        <v>125</v>
      </c>
      <c r="M239" s="103">
        <f>IFERROR(③基本情報入力【例】!AF23*1000,"")</f>
        <v>21400</v>
      </c>
      <c r="N239" s="72" t="s">
        <v>126</v>
      </c>
      <c r="O239" s="1419"/>
      <c r="P239" s="1419"/>
      <c r="Q239" s="1419"/>
      <c r="R239" s="1419"/>
    </row>
    <row r="240" spans="1:18">
      <c r="A240" s="58"/>
      <c r="B240" s="131"/>
      <c r="C240" s="72" t="str">
        <f>+③基本情報入力【例】!AK12</f>
        <v>C町東浄化センター</v>
      </c>
      <c r="D240" s="1221" t="str">
        <f>+③基本情報入力【例】!AK13</f>
        <v>濃縮汚泥</v>
      </c>
      <c r="E240" s="1221"/>
      <c r="F240" s="72" t="s">
        <v>281</v>
      </c>
      <c r="G240" s="1221" t="s">
        <v>271</v>
      </c>
      <c r="H240" s="1221"/>
      <c r="I240" s="72">
        <f t="shared" si="8"/>
        <v>0.8</v>
      </c>
      <c r="J240" s="72" t="s">
        <v>124</v>
      </c>
      <c r="K240" s="69">
        <f>+③基本情報入力【例】!AK21</f>
        <v>36.5</v>
      </c>
      <c r="L240" s="72" t="s">
        <v>125</v>
      </c>
      <c r="M240" s="103">
        <f>IFERROR(③基本情報入力【例】!AK23*1000,"")</f>
        <v>21400</v>
      </c>
      <c r="N240" s="72" t="s">
        <v>126</v>
      </c>
      <c r="O240" s="1419"/>
      <c r="P240" s="1419"/>
      <c r="Q240" s="1419"/>
      <c r="R240" s="1419"/>
    </row>
    <row r="241" spans="1:18">
      <c r="B241" s="131"/>
      <c r="C241" s="72" t="str">
        <f>+③基本情報入力【例】!AP12</f>
        <v>C町中部浄化センター</v>
      </c>
      <c r="D241" s="1221" t="str">
        <f>+③基本情報入力【例】!AP13</f>
        <v>脱水汚泥</v>
      </c>
      <c r="E241" s="1221"/>
      <c r="F241" s="72" t="s">
        <v>281</v>
      </c>
      <c r="G241" s="1221" t="s">
        <v>271</v>
      </c>
      <c r="H241" s="1221"/>
      <c r="I241" s="72">
        <f t="shared" si="8"/>
        <v>2.2999999999999998</v>
      </c>
      <c r="J241" s="72" t="s">
        <v>124</v>
      </c>
      <c r="K241" s="69">
        <f>+③基本情報入力【例】!AP21</f>
        <v>109.5</v>
      </c>
      <c r="L241" s="72" t="s">
        <v>125</v>
      </c>
      <c r="M241" s="103">
        <f>IFERROR(③基本情報入力【例】!AP23*1000,"")</f>
        <v>21400</v>
      </c>
      <c r="N241" s="72" t="s">
        <v>126</v>
      </c>
      <c r="O241" s="1419"/>
      <c r="P241" s="1419"/>
      <c r="Q241" s="1419"/>
      <c r="R241" s="1419"/>
    </row>
    <row r="242" spans="1:18">
      <c r="B242" s="131"/>
      <c r="C242" s="72" t="str">
        <f>+③基本情報入力【例】!AU12</f>
        <v>その他処理場</v>
      </c>
      <c r="D242" s="1221" t="str">
        <f>+③基本情報入力【例】!AU13</f>
        <v>濃縮汚泥</v>
      </c>
      <c r="E242" s="1221"/>
      <c r="F242" s="72" t="s">
        <v>281</v>
      </c>
      <c r="G242" s="1221" t="s">
        <v>271</v>
      </c>
      <c r="H242" s="1221"/>
      <c r="I242" s="72">
        <f t="shared" si="8"/>
        <v>0</v>
      </c>
      <c r="J242" s="72" t="s">
        <v>124</v>
      </c>
      <c r="K242" s="69">
        <f>+③基本情報入力【例】!AU21</f>
        <v>182.5</v>
      </c>
      <c r="L242" s="72" t="s">
        <v>125</v>
      </c>
      <c r="M242" s="103">
        <f>IFERROR(③基本情報入力【例】!AU23*1000,"")</f>
        <v>0</v>
      </c>
      <c r="N242" s="72" t="s">
        <v>126</v>
      </c>
      <c r="O242" s="1419"/>
      <c r="P242" s="1419"/>
      <c r="Q242" s="1419"/>
      <c r="R242" s="1419"/>
    </row>
    <row r="243" spans="1:18">
      <c r="B243" s="131"/>
      <c r="C243" s="72" t="str">
        <f>+③基本情報入力【例】!L29</f>
        <v>A市・B町・C町</v>
      </c>
      <c r="D243" s="1221" t="str">
        <f>+③基本情報入力【例】!L30</f>
        <v>し尿</v>
      </c>
      <c r="E243" s="1221"/>
      <c r="F243" s="72" t="s">
        <v>281</v>
      </c>
      <c r="G243" s="1221" t="s">
        <v>271</v>
      </c>
      <c r="H243" s="1221"/>
      <c r="I243" s="72">
        <f t="shared" si="8"/>
        <v>9.3000000000000007</v>
      </c>
      <c r="J243" s="72" t="s">
        <v>124</v>
      </c>
      <c r="K243" s="69">
        <f>+③基本情報入力【例】!L38</f>
        <v>1095</v>
      </c>
      <c r="L243" s="72" t="s">
        <v>125</v>
      </c>
      <c r="M243" s="103">
        <f>IFERROR(③基本情報入力【例】!L40*1000,"")</f>
        <v>8500</v>
      </c>
      <c r="N243" s="72" t="s">
        <v>126</v>
      </c>
      <c r="O243" s="1419"/>
      <c r="P243" s="1419"/>
      <c r="Q243" s="1419"/>
      <c r="R243" s="1419"/>
    </row>
    <row r="244" spans="1:18">
      <c r="B244" s="131"/>
      <c r="C244" s="72" t="str">
        <f>+③基本情報入力【例】!Q29</f>
        <v>A市・B町・C町</v>
      </c>
      <c r="D244" s="1221" t="str">
        <f>+③基本情報入力【例】!Q30</f>
        <v>浄化槽汚泥</v>
      </c>
      <c r="E244" s="1221"/>
      <c r="F244" s="72" t="s">
        <v>281</v>
      </c>
      <c r="G244" s="1221" t="s">
        <v>271</v>
      </c>
      <c r="H244" s="1221"/>
      <c r="I244" s="72">
        <f t="shared" si="8"/>
        <v>46.5</v>
      </c>
      <c r="J244" s="72" t="s">
        <v>124</v>
      </c>
      <c r="K244" s="69">
        <f>+③基本情報入力【例】!Q38</f>
        <v>5475</v>
      </c>
      <c r="L244" s="72" t="s">
        <v>125</v>
      </c>
      <c r="M244" s="103">
        <f>IFERROR(③基本情報入力【例】!L40*1000,"")</f>
        <v>8500</v>
      </c>
      <c r="N244" s="72" t="s">
        <v>126</v>
      </c>
      <c r="O244" s="1419"/>
      <c r="P244" s="1419"/>
      <c r="Q244" s="1419"/>
      <c r="R244" s="1419"/>
    </row>
    <row r="245" spans="1:18">
      <c r="B245" s="131"/>
      <c r="C245" s="72" t="str">
        <f>+③基本情報入力【例】!V29</f>
        <v>A市・B町・C町</v>
      </c>
      <c r="D245" s="1221" t="str">
        <f>+③基本情報入力【例】!V30</f>
        <v>集落排水汚泥</v>
      </c>
      <c r="E245" s="1221"/>
      <c r="F245" s="72" t="s">
        <v>281</v>
      </c>
      <c r="G245" s="1221" t="s">
        <v>271</v>
      </c>
      <c r="H245" s="1221"/>
      <c r="I245" s="72">
        <f t="shared" si="8"/>
        <v>2.7</v>
      </c>
      <c r="J245" s="72" t="s">
        <v>124</v>
      </c>
      <c r="K245" s="69">
        <f>+③基本情報入力【例】!V38</f>
        <v>1825</v>
      </c>
      <c r="L245" s="72" t="s">
        <v>125</v>
      </c>
      <c r="M245" s="103">
        <f>IFERROR(③基本情報入力【例】!V40*1000,"")</f>
        <v>1500</v>
      </c>
      <c r="N245" s="72" t="s">
        <v>126</v>
      </c>
      <c r="O245" s="1419"/>
      <c r="P245" s="1419"/>
      <c r="Q245" s="1419"/>
      <c r="R245" s="1419"/>
    </row>
    <row r="246" spans="1:18">
      <c r="B246" s="131"/>
      <c r="C246" s="72" t="str">
        <f>+③基本情報入力【例】!AA29</f>
        <v>A市・B町・C町</v>
      </c>
      <c r="D246" s="1221" t="str">
        <f>+③基本情報入力【例】!AA30</f>
        <v>生ごみ</v>
      </c>
      <c r="E246" s="1221"/>
      <c r="F246" s="72" t="s">
        <v>281</v>
      </c>
      <c r="G246" s="1221" t="s">
        <v>271</v>
      </c>
      <c r="H246" s="1221"/>
      <c r="I246" s="72">
        <f t="shared" si="8"/>
        <v>41</v>
      </c>
      <c r="J246" s="72" t="s">
        <v>124</v>
      </c>
      <c r="K246" s="69">
        <f>+③基本情報入力【例】!AA38</f>
        <v>1460</v>
      </c>
      <c r="L246" s="72" t="s">
        <v>125</v>
      </c>
      <c r="M246" s="103">
        <f>IFERROR(③基本情報入力【例】!AA40*1000,"")</f>
        <v>28100</v>
      </c>
      <c r="N246" s="72" t="s">
        <v>126</v>
      </c>
      <c r="O246" s="1419"/>
      <c r="P246" s="1419"/>
      <c r="Q246" s="1419"/>
      <c r="R246" s="1419"/>
    </row>
    <row r="247" spans="1:18">
      <c r="B247" s="131"/>
      <c r="C247" s="72">
        <f>+③基本情報入力【例】!AF29</f>
        <v>0</v>
      </c>
      <c r="D247" s="1221">
        <f>+③基本情報入力【例】!AF30</f>
        <v>0</v>
      </c>
      <c r="E247" s="1221"/>
      <c r="F247" s="72" t="s">
        <v>281</v>
      </c>
      <c r="G247" s="1221" t="s">
        <v>271</v>
      </c>
      <c r="H247" s="1221"/>
      <c r="I247" s="72">
        <f t="shared" si="8"/>
        <v>0</v>
      </c>
      <c r="J247" s="72" t="s">
        <v>124</v>
      </c>
      <c r="K247" s="69">
        <f>+③基本情報入力【例】!AF38</f>
        <v>0</v>
      </c>
      <c r="L247" s="72" t="s">
        <v>125</v>
      </c>
      <c r="M247" s="103">
        <f>IFERROR(③基本情報入力【例】!AF40*1000,"")</f>
        <v>0</v>
      </c>
      <c r="N247" s="72" t="s">
        <v>126</v>
      </c>
      <c r="O247" s="1419"/>
      <c r="P247" s="1419"/>
      <c r="Q247" s="1419"/>
      <c r="R247" s="1419"/>
    </row>
    <row r="248" spans="1:18" s="101" customFormat="1">
      <c r="A248" s="148"/>
      <c r="B248" s="131"/>
      <c r="C248" s="72">
        <f>+③基本情報入力【例】!AK29</f>
        <v>0</v>
      </c>
      <c r="D248" s="1221">
        <f>+③基本情報入力【例】!AK30</f>
        <v>0</v>
      </c>
      <c r="E248" s="1221"/>
      <c r="F248" s="72" t="s">
        <v>281</v>
      </c>
      <c r="G248" s="1221" t="s">
        <v>271</v>
      </c>
      <c r="H248" s="1221"/>
      <c r="I248" s="72">
        <f t="shared" si="8"/>
        <v>0</v>
      </c>
      <c r="J248" s="72" t="s">
        <v>124</v>
      </c>
      <c r="K248" s="69">
        <f>+③基本情報入力【例】!AK38</f>
        <v>0</v>
      </c>
      <c r="L248" s="72" t="s">
        <v>125</v>
      </c>
      <c r="M248" s="103">
        <f>IFERROR(③基本情報入力【例】!AF40*1000,"")</f>
        <v>0</v>
      </c>
      <c r="N248" s="72" t="s">
        <v>126</v>
      </c>
      <c r="O248" s="1419"/>
      <c r="P248" s="1419"/>
      <c r="Q248" s="1419"/>
      <c r="R248" s="1419"/>
    </row>
    <row r="249" spans="1:18">
      <c r="B249" s="131"/>
      <c r="C249" s="72">
        <f>+③基本情報入力【例】!AP29</f>
        <v>0</v>
      </c>
      <c r="D249" s="1221">
        <f>+③基本情報入力【例】!AP30</f>
        <v>0</v>
      </c>
      <c r="E249" s="1221"/>
      <c r="F249" s="72" t="s">
        <v>281</v>
      </c>
      <c r="G249" s="1221" t="s">
        <v>271</v>
      </c>
      <c r="H249" s="1221"/>
      <c r="I249" s="72">
        <f t="shared" si="8"/>
        <v>0</v>
      </c>
      <c r="J249" s="72" t="s">
        <v>124</v>
      </c>
      <c r="K249" s="69">
        <f>+③基本情報入力【例】!AP38</f>
        <v>0</v>
      </c>
      <c r="L249" s="72" t="s">
        <v>125</v>
      </c>
      <c r="M249" s="103">
        <f>IFERROR(③基本情報入力【例】!AP40*1000,"")</f>
        <v>0</v>
      </c>
      <c r="N249" s="72" t="s">
        <v>126</v>
      </c>
      <c r="O249" s="1419"/>
      <c r="P249" s="1419"/>
      <c r="Q249" s="1419"/>
      <c r="R249" s="1419"/>
    </row>
    <row r="250" spans="1:18">
      <c r="B250" s="131"/>
      <c r="C250" s="72">
        <f>+③基本情報入力【例】!AU29</f>
        <v>0</v>
      </c>
      <c r="D250" s="1221">
        <f>+③基本情報入力【例】!AU30</f>
        <v>0</v>
      </c>
      <c r="E250" s="1221"/>
      <c r="F250" s="72" t="s">
        <v>281</v>
      </c>
      <c r="G250" s="1221" t="s">
        <v>271</v>
      </c>
      <c r="H250" s="1221"/>
      <c r="I250" s="72">
        <f t="shared" si="8"/>
        <v>0</v>
      </c>
      <c r="J250" s="72" t="s">
        <v>124</v>
      </c>
      <c r="K250" s="69">
        <f>+③基本情報入力【例】!AU38</f>
        <v>0</v>
      </c>
      <c r="L250" s="72" t="s">
        <v>125</v>
      </c>
      <c r="M250" s="103">
        <f>③基本情報入力【例】!AU40*1000</f>
        <v>0</v>
      </c>
      <c r="N250" s="72" t="s">
        <v>126</v>
      </c>
      <c r="O250" s="1419"/>
      <c r="P250" s="1419"/>
      <c r="Q250" s="1419"/>
      <c r="R250" s="1419"/>
    </row>
    <row r="251" spans="1:18">
      <c r="B251" s="131"/>
      <c r="C251" s="72"/>
      <c r="D251" s="1222"/>
      <c r="E251" s="1224"/>
      <c r="F251" s="72" t="s">
        <v>281</v>
      </c>
      <c r="G251" s="1221" t="s">
        <v>271</v>
      </c>
      <c r="H251" s="1221"/>
      <c r="I251" s="72">
        <f t="shared" si="8"/>
        <v>0</v>
      </c>
      <c r="J251" s="72" t="s">
        <v>124</v>
      </c>
      <c r="K251" s="69"/>
      <c r="L251" s="72" t="s">
        <v>125</v>
      </c>
      <c r="M251" s="103"/>
      <c r="N251" s="72" t="s">
        <v>126</v>
      </c>
      <c r="O251" s="1419"/>
      <c r="P251" s="1419"/>
      <c r="Q251" s="1419"/>
      <c r="R251" s="1419"/>
    </row>
    <row r="252" spans="1:18" ht="14.25" thickBot="1">
      <c r="B252" s="131"/>
      <c r="C252" s="88"/>
      <c r="D252" s="1485"/>
      <c r="E252" s="1486"/>
      <c r="F252" s="88" t="s">
        <v>281</v>
      </c>
      <c r="G252" s="1461" t="s">
        <v>271</v>
      </c>
      <c r="H252" s="1461"/>
      <c r="I252" s="88">
        <f>ROUND(K252*M252/10^6,1)</f>
        <v>0</v>
      </c>
      <c r="J252" s="88" t="s">
        <v>124</v>
      </c>
      <c r="K252" s="90"/>
      <c r="L252" s="88" t="s">
        <v>125</v>
      </c>
      <c r="M252" s="130"/>
      <c r="N252" s="88" t="s">
        <v>343</v>
      </c>
      <c r="O252" s="1485"/>
      <c r="P252" s="1487"/>
      <c r="Q252" s="1487"/>
      <c r="R252" s="1486"/>
    </row>
    <row r="253" spans="1:18" ht="14.25" thickTop="1">
      <c r="B253" s="132"/>
      <c r="C253" s="1427" t="s">
        <v>259</v>
      </c>
      <c r="D253" s="1428"/>
      <c r="E253" s="1428"/>
      <c r="F253" s="1428"/>
      <c r="G253" s="1428"/>
      <c r="H253" s="1429"/>
      <c r="I253" s="112">
        <f>SUM(I236:I252)</f>
        <v>139.30000000000001</v>
      </c>
      <c r="J253" s="112" t="s">
        <v>124</v>
      </c>
    </row>
    <row r="255" spans="1:18">
      <c r="B255" s="58" t="s">
        <v>282</v>
      </c>
    </row>
    <row r="256" spans="1:18">
      <c r="B256" s="1488" t="s">
        <v>23</v>
      </c>
      <c r="C256" s="1488"/>
      <c r="D256" s="391" t="s">
        <v>24</v>
      </c>
      <c r="E256" s="391" t="s">
        <v>237</v>
      </c>
      <c r="F256" s="255" t="s">
        <v>283</v>
      </c>
      <c r="G256" s="430" t="s">
        <v>40</v>
      </c>
      <c r="H256" s="430" t="s">
        <v>98</v>
      </c>
      <c r="I256" s="1489" t="s">
        <v>342</v>
      </c>
      <c r="J256" s="1490"/>
    </row>
    <row r="257" spans="1:10">
      <c r="A257" s="158"/>
      <c r="B257" s="1419" t="s">
        <v>284</v>
      </c>
      <c r="C257" s="1419"/>
      <c r="D257" s="385" t="s">
        <v>7</v>
      </c>
      <c r="E257" s="156">
        <f>K22+K53+K82+K111+K140+K169+K198+K219</f>
        <v>1728.4629379392998</v>
      </c>
      <c r="F257" s="152">
        <f>K22+K53+K82+K111+K140+K169+K198</f>
        <v>817.6629379392997</v>
      </c>
      <c r="G257" s="153">
        <f>K219</f>
        <v>910.80000000000007</v>
      </c>
      <c r="H257" s="153">
        <f>K213</f>
        <v>0</v>
      </c>
      <c r="I257" s="1493">
        <v>0</v>
      </c>
      <c r="J257" s="1494"/>
    </row>
    <row r="258" spans="1:10">
      <c r="B258" s="1419" t="s">
        <v>285</v>
      </c>
      <c r="C258" s="1419"/>
      <c r="D258" s="385" t="s">
        <v>14</v>
      </c>
      <c r="E258" s="156">
        <f>I22+I53+I82+I111+I140+I169+I198+I219</f>
        <v>103.51662276606805</v>
      </c>
      <c r="F258" s="152">
        <f>I22+I53+I82+I111+I140+I169+I198</f>
        <v>51.922207375472993</v>
      </c>
      <c r="G258" s="153">
        <f>I219</f>
        <v>51.59441539059506</v>
      </c>
      <c r="H258" s="153">
        <f>I213</f>
        <v>0</v>
      </c>
      <c r="I258" s="1493">
        <v>0</v>
      </c>
      <c r="J258" s="1494"/>
    </row>
    <row r="259" spans="1:10">
      <c r="B259" s="1419" t="s">
        <v>264</v>
      </c>
      <c r="C259" s="1419"/>
      <c r="D259" s="385" t="s">
        <v>14</v>
      </c>
      <c r="E259" s="156">
        <f>I34+I63+I92+I121+I150+I179+I208+I222</f>
        <v>100.75360500598957</v>
      </c>
      <c r="F259" s="152">
        <f>I34+I63+I92+I121+I150+I179+I208</f>
        <v>35.272605005989575</v>
      </c>
      <c r="G259" s="153">
        <f>+I222</f>
        <v>65.480999999999995</v>
      </c>
      <c r="H259" s="153"/>
      <c r="I259" s="1493">
        <v>0</v>
      </c>
      <c r="J259" s="1494"/>
    </row>
    <row r="260" spans="1:10">
      <c r="B260" s="1419" t="s">
        <v>286</v>
      </c>
      <c r="C260" s="1419"/>
      <c r="D260" s="385" t="s">
        <v>14</v>
      </c>
      <c r="E260" s="156">
        <f>+I232</f>
        <v>105.5</v>
      </c>
      <c r="F260" s="152">
        <v>0</v>
      </c>
      <c r="G260" s="254">
        <f>I226+I227+I228</f>
        <v>89.3</v>
      </c>
      <c r="H260" s="153">
        <f>I229</f>
        <v>16.2</v>
      </c>
      <c r="I260" s="1493">
        <v>0</v>
      </c>
      <c r="J260" s="1494"/>
    </row>
    <row r="261" spans="1:10">
      <c r="A261" s="58"/>
      <c r="B261" s="1419" t="s">
        <v>287</v>
      </c>
      <c r="C261" s="1419"/>
      <c r="D261" s="385" t="s">
        <v>14</v>
      </c>
      <c r="E261" s="156">
        <f>+I253</f>
        <v>139.30000000000001</v>
      </c>
      <c r="F261" s="152">
        <f>+SUM(I236:I242)</f>
        <v>39.79999999999999</v>
      </c>
      <c r="G261" s="153">
        <f>I243+I244+I245</f>
        <v>58.5</v>
      </c>
      <c r="H261" s="153">
        <f>I246</f>
        <v>41</v>
      </c>
      <c r="I261" s="1493">
        <f>SUM(I247:I250)</f>
        <v>0</v>
      </c>
      <c r="J261" s="1494"/>
    </row>
    <row r="262" spans="1:10">
      <c r="A262" s="58"/>
      <c r="B262" s="1419" t="s">
        <v>301</v>
      </c>
      <c r="C262" s="1419"/>
      <c r="D262" s="385" t="s">
        <v>14</v>
      </c>
      <c r="E262" s="156">
        <f>-I213</f>
        <v>0</v>
      </c>
      <c r="F262" s="152"/>
      <c r="G262" s="153"/>
      <c r="H262" s="153"/>
      <c r="I262" s="1493"/>
      <c r="J262" s="1494"/>
    </row>
    <row r="263" spans="1:10">
      <c r="A263" s="58"/>
      <c r="B263" s="1419" t="s">
        <v>288</v>
      </c>
      <c r="C263" s="1419"/>
      <c r="D263" s="385" t="s">
        <v>14</v>
      </c>
      <c r="E263" s="156">
        <f>+E258+E259+E260+E261+E262</f>
        <v>449.07022777205765</v>
      </c>
      <c r="F263" s="154">
        <f>+SUM(F258:F261)</f>
        <v>126.99481238146257</v>
      </c>
      <c r="G263" s="155">
        <f>+SUM(G258:G261)</f>
        <v>264.87541539059504</v>
      </c>
      <c r="H263" s="155">
        <f>+SUM(H258:H261)</f>
        <v>57.2</v>
      </c>
      <c r="I263" s="1491"/>
      <c r="J263" s="1492"/>
    </row>
    <row r="264" spans="1:10">
      <c r="A264" s="58"/>
      <c r="B264" s="101" t="s">
        <v>289</v>
      </c>
    </row>
    <row r="265" spans="1:10">
      <c r="A265" s="58"/>
    </row>
    <row r="266" spans="1:10">
      <c r="A266" s="58"/>
    </row>
    <row r="267" spans="1:10">
      <c r="A267" s="58"/>
    </row>
    <row r="268" spans="1:10">
      <c r="A268" s="58"/>
    </row>
    <row r="269" spans="1:10">
      <c r="A269" s="58"/>
    </row>
    <row r="270" spans="1:10">
      <c r="A270" s="58"/>
    </row>
    <row r="271" spans="1:10">
      <c r="A271" s="58"/>
    </row>
    <row r="272" spans="1:10">
      <c r="A272" s="58"/>
    </row>
    <row r="273" spans="1:1">
      <c r="A273" s="58"/>
    </row>
    <row r="274" spans="1:1">
      <c r="A274" s="58"/>
    </row>
    <row r="275" spans="1:1">
      <c r="A275" s="58"/>
    </row>
    <row r="276" spans="1:1">
      <c r="A276" s="58"/>
    </row>
    <row r="277" spans="1:1">
      <c r="A277" s="58"/>
    </row>
    <row r="278" spans="1:1">
      <c r="A278" s="58"/>
    </row>
    <row r="279" spans="1:1">
      <c r="A279" s="58"/>
    </row>
    <row r="280" spans="1:1">
      <c r="A280" s="58"/>
    </row>
    <row r="281" spans="1:1">
      <c r="A281" s="58"/>
    </row>
    <row r="282" spans="1:1">
      <c r="A282" s="58"/>
    </row>
    <row r="283" spans="1:1">
      <c r="A283" s="58"/>
    </row>
    <row r="284" spans="1:1">
      <c r="A284" s="58"/>
    </row>
    <row r="285" spans="1:1">
      <c r="A285" s="58"/>
    </row>
    <row r="286" spans="1:1">
      <c r="A286" s="58"/>
    </row>
    <row r="287" spans="1:1">
      <c r="A287" s="58"/>
    </row>
    <row r="288" spans="1:1">
      <c r="A288" s="58"/>
    </row>
    <row r="289" spans="1:1">
      <c r="A289" s="58"/>
    </row>
  </sheetData>
  <mergeCells count="358">
    <mergeCell ref="B263:C263"/>
    <mergeCell ref="I263:J263"/>
    <mergeCell ref="B260:C260"/>
    <mergeCell ref="I260:J260"/>
    <mergeCell ref="B261:C261"/>
    <mergeCell ref="I261:J261"/>
    <mergeCell ref="B262:C262"/>
    <mergeCell ref="I262:J262"/>
    <mergeCell ref="B257:C257"/>
    <mergeCell ref="I257:J257"/>
    <mergeCell ref="B258:C258"/>
    <mergeCell ref="I258:J258"/>
    <mergeCell ref="B259:C259"/>
    <mergeCell ref="I259:J259"/>
    <mergeCell ref="D252:E252"/>
    <mergeCell ref="G252:H252"/>
    <mergeCell ref="O252:R252"/>
    <mergeCell ref="C253:H253"/>
    <mergeCell ref="B256:C256"/>
    <mergeCell ref="I256:J256"/>
    <mergeCell ref="D250:E250"/>
    <mergeCell ref="G250:H250"/>
    <mergeCell ref="O250:R250"/>
    <mergeCell ref="D251:E251"/>
    <mergeCell ref="G251:H251"/>
    <mergeCell ref="O251:R251"/>
    <mergeCell ref="D248:E248"/>
    <mergeCell ref="G248:H248"/>
    <mergeCell ref="O248:R248"/>
    <mergeCell ref="D249:E249"/>
    <mergeCell ref="G249:H249"/>
    <mergeCell ref="O249:R249"/>
    <mergeCell ref="D246:E246"/>
    <mergeCell ref="G246:H246"/>
    <mergeCell ref="O246:R246"/>
    <mergeCell ref="D247:E247"/>
    <mergeCell ref="G247:H247"/>
    <mergeCell ref="O247:R247"/>
    <mergeCell ref="D244:E244"/>
    <mergeCell ref="G244:H244"/>
    <mergeCell ref="O244:R244"/>
    <mergeCell ref="D245:E245"/>
    <mergeCell ref="G245:H245"/>
    <mergeCell ref="O245:R245"/>
    <mergeCell ref="D242:E242"/>
    <mergeCell ref="G242:H242"/>
    <mergeCell ref="O242:R242"/>
    <mergeCell ref="D243:E243"/>
    <mergeCell ref="G243:H243"/>
    <mergeCell ref="O243:R243"/>
    <mergeCell ref="D240:E240"/>
    <mergeCell ref="G240:H240"/>
    <mergeCell ref="O240:R240"/>
    <mergeCell ref="D241:E241"/>
    <mergeCell ref="G241:H241"/>
    <mergeCell ref="O241:R241"/>
    <mergeCell ref="D238:E238"/>
    <mergeCell ref="G238:H238"/>
    <mergeCell ref="O238:R238"/>
    <mergeCell ref="D239:E239"/>
    <mergeCell ref="G239:H239"/>
    <mergeCell ref="O239:R239"/>
    <mergeCell ref="D236:E236"/>
    <mergeCell ref="G236:H236"/>
    <mergeCell ref="O236:R236"/>
    <mergeCell ref="D237:E237"/>
    <mergeCell ref="G237:H237"/>
    <mergeCell ref="O237:R237"/>
    <mergeCell ref="D231:E231"/>
    <mergeCell ref="G231:H231"/>
    <mergeCell ref="O231:R231"/>
    <mergeCell ref="C232:H232"/>
    <mergeCell ref="D235:E235"/>
    <mergeCell ref="G235:H235"/>
    <mergeCell ref="I235:J235"/>
    <mergeCell ref="K235:L235"/>
    <mergeCell ref="M235:N235"/>
    <mergeCell ref="O235:R235"/>
    <mergeCell ref="D229:E229"/>
    <mergeCell ref="G229:H229"/>
    <mergeCell ref="O229:R229"/>
    <mergeCell ref="D230:E230"/>
    <mergeCell ref="G230:H230"/>
    <mergeCell ref="O230:R230"/>
    <mergeCell ref="B226:B232"/>
    <mergeCell ref="D226:E226"/>
    <mergeCell ref="G226:H226"/>
    <mergeCell ref="O226:R226"/>
    <mergeCell ref="D227:E227"/>
    <mergeCell ref="G227:H227"/>
    <mergeCell ref="O227:R227"/>
    <mergeCell ref="D228:E228"/>
    <mergeCell ref="G228:H228"/>
    <mergeCell ref="O228:R228"/>
    <mergeCell ref="D225:E225"/>
    <mergeCell ref="G225:H225"/>
    <mergeCell ref="I225:J225"/>
    <mergeCell ref="K225:L225"/>
    <mergeCell ref="M225:N225"/>
    <mergeCell ref="O225:R225"/>
    <mergeCell ref="C219:H219"/>
    <mergeCell ref="G220:H220"/>
    <mergeCell ref="I220:J220"/>
    <mergeCell ref="K220:L220"/>
    <mergeCell ref="M220:R220"/>
    <mergeCell ref="B221:B222"/>
    <mergeCell ref="M221:R221"/>
    <mergeCell ref="C222:H222"/>
    <mergeCell ref="B212:B213"/>
    <mergeCell ref="C213:H213"/>
    <mergeCell ref="I216:J216"/>
    <mergeCell ref="K216:L216"/>
    <mergeCell ref="M216:N216"/>
    <mergeCell ref="B217:B219"/>
    <mergeCell ref="C217:C218"/>
    <mergeCell ref="D217:D218"/>
    <mergeCell ref="G217:G218"/>
    <mergeCell ref="H217:H218"/>
    <mergeCell ref="M207:R207"/>
    <mergeCell ref="C208:H208"/>
    <mergeCell ref="M208:R208"/>
    <mergeCell ref="G211:H211"/>
    <mergeCell ref="I211:J211"/>
    <mergeCell ref="K211:L211"/>
    <mergeCell ref="M211:N211"/>
    <mergeCell ref="K199:L199"/>
    <mergeCell ref="M199:R199"/>
    <mergeCell ref="B200:B208"/>
    <mergeCell ref="M200:R200"/>
    <mergeCell ref="M201:R201"/>
    <mergeCell ref="M202:R202"/>
    <mergeCell ref="M203:R203"/>
    <mergeCell ref="M204:R204"/>
    <mergeCell ref="M205:R205"/>
    <mergeCell ref="M206:R206"/>
    <mergeCell ref="D192:D194"/>
    <mergeCell ref="C195:C197"/>
    <mergeCell ref="D195:D197"/>
    <mergeCell ref="C198:H198"/>
    <mergeCell ref="G199:H199"/>
    <mergeCell ref="I199:J199"/>
    <mergeCell ref="B183:B198"/>
    <mergeCell ref="C183:C184"/>
    <mergeCell ref="D183:D184"/>
    <mergeCell ref="N183:N184"/>
    <mergeCell ref="C185:C186"/>
    <mergeCell ref="D185:D186"/>
    <mergeCell ref="N185:N186"/>
    <mergeCell ref="C188:C189"/>
    <mergeCell ref="D188:D189"/>
    <mergeCell ref="C192:C194"/>
    <mergeCell ref="M178:R178"/>
    <mergeCell ref="C179:H179"/>
    <mergeCell ref="M179:R179"/>
    <mergeCell ref="G182:H182"/>
    <mergeCell ref="I182:J182"/>
    <mergeCell ref="K182:L182"/>
    <mergeCell ref="M182:N182"/>
    <mergeCell ref="K170:L170"/>
    <mergeCell ref="M170:R170"/>
    <mergeCell ref="B171:B179"/>
    <mergeCell ref="M171:R171"/>
    <mergeCell ref="M172:R172"/>
    <mergeCell ref="M173:R173"/>
    <mergeCell ref="M174:R174"/>
    <mergeCell ref="M175:R175"/>
    <mergeCell ref="M176:R176"/>
    <mergeCell ref="M177:R177"/>
    <mergeCell ref="D163:D165"/>
    <mergeCell ref="C166:C168"/>
    <mergeCell ref="D166:D168"/>
    <mergeCell ref="C169:H169"/>
    <mergeCell ref="G170:H170"/>
    <mergeCell ref="I170:J170"/>
    <mergeCell ref="B154:B169"/>
    <mergeCell ref="C154:C155"/>
    <mergeCell ref="D154:D155"/>
    <mergeCell ref="N154:N155"/>
    <mergeCell ref="C156:C157"/>
    <mergeCell ref="D156:D157"/>
    <mergeCell ref="N156:N157"/>
    <mergeCell ref="C159:C160"/>
    <mergeCell ref="D159:D160"/>
    <mergeCell ref="C163:C165"/>
    <mergeCell ref="C150:H150"/>
    <mergeCell ref="G153:H153"/>
    <mergeCell ref="I153:J153"/>
    <mergeCell ref="K153:L153"/>
    <mergeCell ref="M153:N153"/>
    <mergeCell ref="K141:L141"/>
    <mergeCell ref="M141:R141"/>
    <mergeCell ref="B142:B150"/>
    <mergeCell ref="M142:R142"/>
    <mergeCell ref="M143:R143"/>
    <mergeCell ref="M144:R144"/>
    <mergeCell ref="M145:R145"/>
    <mergeCell ref="M146:R146"/>
    <mergeCell ref="M147:R147"/>
    <mergeCell ref="M148:R148"/>
    <mergeCell ref="C137:C139"/>
    <mergeCell ref="D137:D139"/>
    <mergeCell ref="C140:H140"/>
    <mergeCell ref="G141:H141"/>
    <mergeCell ref="I141:J141"/>
    <mergeCell ref="B125:B140"/>
    <mergeCell ref="C125:C126"/>
    <mergeCell ref="D125:D126"/>
    <mergeCell ref="M149:R149"/>
    <mergeCell ref="N125:N126"/>
    <mergeCell ref="C127:C128"/>
    <mergeCell ref="D127:D128"/>
    <mergeCell ref="N127:N128"/>
    <mergeCell ref="C130:C131"/>
    <mergeCell ref="D130:D131"/>
    <mergeCell ref="C134:C136"/>
    <mergeCell ref="M120:R120"/>
    <mergeCell ref="C121:H121"/>
    <mergeCell ref="G124:H124"/>
    <mergeCell ref="I124:J124"/>
    <mergeCell ref="K124:L124"/>
    <mergeCell ref="M124:N124"/>
    <mergeCell ref="D134:D136"/>
    <mergeCell ref="M112:R112"/>
    <mergeCell ref="B113:B121"/>
    <mergeCell ref="M113:R113"/>
    <mergeCell ref="M114:R114"/>
    <mergeCell ref="M115:R115"/>
    <mergeCell ref="M116:R116"/>
    <mergeCell ref="M117:R117"/>
    <mergeCell ref="M118:R118"/>
    <mergeCell ref="M119:R119"/>
    <mergeCell ref="C108:C110"/>
    <mergeCell ref="D108:D110"/>
    <mergeCell ref="C111:H111"/>
    <mergeCell ref="G112:H112"/>
    <mergeCell ref="I112:J112"/>
    <mergeCell ref="B96:B111"/>
    <mergeCell ref="C96:C97"/>
    <mergeCell ref="D96:D97"/>
    <mergeCell ref="K112:L112"/>
    <mergeCell ref="N96:N97"/>
    <mergeCell ref="C98:C99"/>
    <mergeCell ref="D98:D99"/>
    <mergeCell ref="N98:N99"/>
    <mergeCell ref="C101:C102"/>
    <mergeCell ref="D101:D102"/>
    <mergeCell ref="C105:C107"/>
    <mergeCell ref="M91:R91"/>
    <mergeCell ref="C92:H92"/>
    <mergeCell ref="M92:R92"/>
    <mergeCell ref="G95:H95"/>
    <mergeCell ref="I95:J95"/>
    <mergeCell ref="K95:L95"/>
    <mergeCell ref="M95:N95"/>
    <mergeCell ref="D105:D107"/>
    <mergeCell ref="M83:R83"/>
    <mergeCell ref="B84:B92"/>
    <mergeCell ref="M84:R84"/>
    <mergeCell ref="M85:R85"/>
    <mergeCell ref="M86:R86"/>
    <mergeCell ref="M87:R87"/>
    <mergeCell ref="M88:R88"/>
    <mergeCell ref="M89:R89"/>
    <mergeCell ref="M90:R90"/>
    <mergeCell ref="C79:C81"/>
    <mergeCell ref="D79:D81"/>
    <mergeCell ref="C82:H82"/>
    <mergeCell ref="G83:H83"/>
    <mergeCell ref="I83:J83"/>
    <mergeCell ref="B67:B82"/>
    <mergeCell ref="C67:C68"/>
    <mergeCell ref="D67:D68"/>
    <mergeCell ref="K83:L83"/>
    <mergeCell ref="N67:N68"/>
    <mergeCell ref="C69:C70"/>
    <mergeCell ref="D69:D70"/>
    <mergeCell ref="N69:N70"/>
    <mergeCell ref="C72:C73"/>
    <mergeCell ref="D72:D73"/>
    <mergeCell ref="C76:C78"/>
    <mergeCell ref="C63:H63"/>
    <mergeCell ref="M63:R63"/>
    <mergeCell ref="G66:H66"/>
    <mergeCell ref="I66:J66"/>
    <mergeCell ref="K66:L66"/>
    <mergeCell ref="M66:N66"/>
    <mergeCell ref="D76:D78"/>
    <mergeCell ref="B55:B63"/>
    <mergeCell ref="M55:R55"/>
    <mergeCell ref="M56:R56"/>
    <mergeCell ref="M57:R57"/>
    <mergeCell ref="M58:R58"/>
    <mergeCell ref="M59:R59"/>
    <mergeCell ref="M60:R60"/>
    <mergeCell ref="M61:R61"/>
    <mergeCell ref="M62:R62"/>
    <mergeCell ref="B38:B53"/>
    <mergeCell ref="C38:C39"/>
    <mergeCell ref="D38:D39"/>
    <mergeCell ref="N38:N39"/>
    <mergeCell ref="C40:C41"/>
    <mergeCell ref="C50:C52"/>
    <mergeCell ref="D50:D52"/>
    <mergeCell ref="C53:H53"/>
    <mergeCell ref="G54:H54"/>
    <mergeCell ref="I54:J54"/>
    <mergeCell ref="K54:L54"/>
    <mergeCell ref="D40:D41"/>
    <mergeCell ref="N40:N41"/>
    <mergeCell ref="C43:C44"/>
    <mergeCell ref="D43:D44"/>
    <mergeCell ref="C47:C49"/>
    <mergeCell ref="D47:D49"/>
    <mergeCell ref="M54:R54"/>
    <mergeCell ref="G23:H23"/>
    <mergeCell ref="I23:J23"/>
    <mergeCell ref="K23:L23"/>
    <mergeCell ref="M23:R23"/>
    <mergeCell ref="C36:D36"/>
    <mergeCell ref="G37:H37"/>
    <mergeCell ref="I37:J37"/>
    <mergeCell ref="K37:L37"/>
    <mergeCell ref="M37:N37"/>
    <mergeCell ref="B5:B22"/>
    <mergeCell ref="C5:C6"/>
    <mergeCell ref="D5:D6"/>
    <mergeCell ref="N5:N6"/>
    <mergeCell ref="C7:C8"/>
    <mergeCell ref="B24:B34"/>
    <mergeCell ref="M24:R24"/>
    <mergeCell ref="M25:R25"/>
    <mergeCell ref="M26:R26"/>
    <mergeCell ref="M27:R27"/>
    <mergeCell ref="M28:R28"/>
    <mergeCell ref="C17:C18"/>
    <mergeCell ref="D17:D18"/>
    <mergeCell ref="N17:N18"/>
    <mergeCell ref="C19:C21"/>
    <mergeCell ref="D19:D21"/>
    <mergeCell ref="C22:H22"/>
    <mergeCell ref="M29:R29"/>
    <mergeCell ref="M30:R30"/>
    <mergeCell ref="M31:R31"/>
    <mergeCell ref="M32:R32"/>
    <mergeCell ref="M33:R33"/>
    <mergeCell ref="C34:H34"/>
    <mergeCell ref="M34:R34"/>
    <mergeCell ref="D7:D8"/>
    <mergeCell ref="N7:N8"/>
    <mergeCell ref="C10:C11"/>
    <mergeCell ref="D10:D11"/>
    <mergeCell ref="C14:C16"/>
    <mergeCell ref="D14:D16"/>
    <mergeCell ref="C3:D3"/>
    <mergeCell ref="G4:H4"/>
    <mergeCell ref="I4:J4"/>
    <mergeCell ref="K4:L4"/>
    <mergeCell ref="M4:N4"/>
  </mergeCells>
  <phoneticPr fontId="2"/>
  <printOptions horizontalCentered="1"/>
  <pageMargins left="0" right="0" top="0.74803149606299213" bottom="0" header="0.31496062992125984" footer="0.31496062992125984"/>
  <pageSetup paperSize="8" scale="59" orientation="portrait" r:id="rId1"/>
  <rowBreaks count="1" manualBreakCount="1">
    <brk id="122" min="1" max="17" man="1"/>
  </rowBreaks>
  <colBreaks count="1" manualBreakCount="1">
    <brk id="18" max="26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2:AB111"/>
  <sheetViews>
    <sheetView showGridLines="0" topLeftCell="A28" workbookViewId="0"/>
  </sheetViews>
  <sheetFormatPr defaultRowHeight="13.5"/>
  <cols>
    <col min="1" max="1" width="2.625" style="5" customWidth="1"/>
    <col min="2" max="3" width="5.25" style="5" bestFit="1" customWidth="1"/>
    <col min="4" max="4" width="7.125" style="5" bestFit="1" customWidth="1"/>
    <col min="5" max="5" width="9" style="5" bestFit="1" customWidth="1"/>
    <col min="6" max="6" width="19.75" style="5" bestFit="1" customWidth="1"/>
    <col min="7" max="7" width="20.625" style="6" customWidth="1"/>
    <col min="8" max="8" width="10.875" style="7" bestFit="1" customWidth="1"/>
    <col min="9" max="24" width="11.625" style="5" customWidth="1"/>
    <col min="25" max="25" width="24.375" style="5" bestFit="1" customWidth="1"/>
    <col min="26" max="26" width="42.25" style="5" bestFit="1" customWidth="1"/>
    <col min="27" max="28" width="9" style="5"/>
    <col min="29" max="29" width="20.5" style="5" bestFit="1" customWidth="1"/>
    <col min="30" max="16384" width="9" style="5"/>
  </cols>
  <sheetData>
    <row r="2" spans="2:27" ht="14.25" thickBot="1">
      <c r="B2" s="1301" t="s">
        <v>697</v>
      </c>
      <c r="C2" s="1301"/>
      <c r="D2" s="1301"/>
      <c r="E2" s="1301"/>
      <c r="F2" s="1301"/>
      <c r="G2" s="1301"/>
      <c r="H2" s="1301"/>
      <c r="I2" s="1301"/>
      <c r="J2" s="1301"/>
      <c r="K2" s="1301"/>
      <c r="L2" s="1301"/>
      <c r="M2" s="1301"/>
      <c r="N2" s="1301"/>
      <c r="O2" s="1301"/>
      <c r="P2" s="1301"/>
      <c r="Q2" s="1301"/>
      <c r="R2" s="1301"/>
      <c r="S2" s="1301"/>
      <c r="T2" s="1301"/>
      <c r="U2" s="1301"/>
      <c r="V2" s="1301"/>
      <c r="W2" s="1301"/>
      <c r="X2" s="1301"/>
      <c r="Y2" s="1301"/>
    </row>
    <row r="3" spans="2:27" ht="14.25" thickBot="1">
      <c r="B3" s="1302" t="s">
        <v>330</v>
      </c>
      <c r="C3" s="1303"/>
      <c r="D3" s="1303"/>
      <c r="E3" s="1303"/>
      <c r="F3" s="1303"/>
      <c r="G3" s="1303"/>
      <c r="H3" s="1303"/>
      <c r="I3" s="1303"/>
      <c r="J3" s="1303"/>
      <c r="K3" s="1303"/>
      <c r="L3" s="1303"/>
      <c r="M3" s="1303"/>
      <c r="N3" s="1303"/>
      <c r="O3" s="1303"/>
      <c r="P3" s="1303"/>
      <c r="Q3" s="1303"/>
      <c r="R3" s="1303"/>
      <c r="S3" s="1303"/>
      <c r="T3" s="1303"/>
      <c r="U3" s="1303"/>
      <c r="V3" s="1303"/>
      <c r="W3" s="1303"/>
      <c r="X3" s="1303"/>
      <c r="Y3" s="1304"/>
    </row>
    <row r="4" spans="2:27">
      <c r="B4" s="1305" t="s">
        <v>48</v>
      </c>
      <c r="C4" s="1307" t="s">
        <v>23</v>
      </c>
      <c r="D4" s="1307"/>
      <c r="E4" s="1307"/>
      <c r="F4" s="1307"/>
      <c r="G4" s="1309" t="s">
        <v>49</v>
      </c>
      <c r="H4" s="1307" t="s">
        <v>24</v>
      </c>
      <c r="I4" s="1311" t="str">
        <f>③基本情報入力【例】!L12</f>
        <v>A市浄化センター</v>
      </c>
      <c r="J4" s="1311" t="str">
        <f>+③基本情報入力【例】!V12</f>
        <v>B町中央浄化センター</v>
      </c>
      <c r="K4" s="1311" t="str">
        <f>+③基本情報入力【例】!AA12</f>
        <v>B町浄化センター</v>
      </c>
      <c r="L4" s="1311" t="str">
        <f>+③基本情報入力【例】!AF12</f>
        <v>C町西浄化センター</v>
      </c>
      <c r="M4" s="1311" t="str">
        <f>+③基本情報入力【例】!AK12</f>
        <v>C町東浄化センター</v>
      </c>
      <c r="N4" s="1319" t="str">
        <f>+③基本情報入力【例】!AP12</f>
        <v>C町中部浄化センター</v>
      </c>
      <c r="O4" s="1311" t="str">
        <f>+③基本情報入力【例】!AU12</f>
        <v>その他処理場</v>
      </c>
      <c r="P4" s="1311" t="str">
        <f>+③基本情報入力【例】!L29</f>
        <v>A市・B町・C町</v>
      </c>
      <c r="Q4" s="1311" t="str">
        <f>+③基本情報入力【例】!Q29</f>
        <v>A市・B町・C町</v>
      </c>
      <c r="R4" s="1311" t="str">
        <f>+③基本情報入力【例】!V29</f>
        <v>A市・B町・C町</v>
      </c>
      <c r="S4" s="1311" t="str">
        <f>+③基本情報入力【例】!AA29</f>
        <v>A市・B町・C町</v>
      </c>
      <c r="T4" s="1311">
        <f>+③基本情報入力【例】!AF29</f>
        <v>0</v>
      </c>
      <c r="U4" s="1311">
        <f>+③基本情報入力【例】!AK29</f>
        <v>0</v>
      </c>
      <c r="V4" s="1319">
        <f>+③基本情報入力【例】!AP29</f>
        <v>0</v>
      </c>
      <c r="W4" s="1321">
        <f>+③基本情報入力【例】!AU29</f>
        <v>0</v>
      </c>
      <c r="X4" s="1323" t="s">
        <v>55</v>
      </c>
      <c r="Y4" s="1317" t="s">
        <v>25</v>
      </c>
    </row>
    <row r="5" spans="2:27">
      <c r="B5" s="1306"/>
      <c r="C5" s="1308"/>
      <c r="D5" s="1308"/>
      <c r="E5" s="1308"/>
      <c r="F5" s="1308"/>
      <c r="G5" s="1310"/>
      <c r="H5" s="1308"/>
      <c r="I5" s="1285"/>
      <c r="J5" s="1285"/>
      <c r="K5" s="1285"/>
      <c r="L5" s="1285"/>
      <c r="M5" s="1285"/>
      <c r="N5" s="1320"/>
      <c r="O5" s="1285"/>
      <c r="P5" s="1285"/>
      <c r="Q5" s="1285"/>
      <c r="R5" s="1285"/>
      <c r="S5" s="1285"/>
      <c r="T5" s="1285"/>
      <c r="U5" s="1285"/>
      <c r="V5" s="1320"/>
      <c r="W5" s="1322"/>
      <c r="X5" s="1324"/>
      <c r="Y5" s="1318"/>
    </row>
    <row r="6" spans="2:27" ht="13.5" customHeight="1">
      <c r="B6" s="1306"/>
      <c r="C6" s="1308"/>
      <c r="D6" s="1308"/>
      <c r="E6" s="1308"/>
      <c r="F6" s="1308"/>
      <c r="G6" s="1310"/>
      <c r="H6" s="1308"/>
      <c r="I6" s="1312" t="str">
        <f>③基本情報入力【例】!Q13</f>
        <v>脱水汚泥</v>
      </c>
      <c r="J6" s="1312" t="str">
        <f>+③基本情報入力【例】!V13</f>
        <v>脱水汚泥</v>
      </c>
      <c r="K6" s="1312" t="str">
        <f>+③基本情報入力【例】!AA13</f>
        <v>脱水汚泥</v>
      </c>
      <c r="L6" s="1312" t="str">
        <f>+③基本情報入力【例】!AF13</f>
        <v>脱水汚泥</v>
      </c>
      <c r="M6" s="1313" t="str">
        <f>+③基本情報入力【例】!AK13</f>
        <v>濃縮汚泥</v>
      </c>
      <c r="N6" s="1313" t="str">
        <f>+③基本情報入力【例】!AP13</f>
        <v>脱水汚泥</v>
      </c>
      <c r="O6" s="1312" t="str">
        <f>+③基本情報入力【例】!AU13</f>
        <v>濃縮汚泥</v>
      </c>
      <c r="P6" s="1312" t="str">
        <f>③基本情報入力【例】!L30</f>
        <v>し尿</v>
      </c>
      <c r="Q6" s="1312" t="str">
        <f>+③基本情報入力【例】!Q30</f>
        <v>浄化槽汚泥</v>
      </c>
      <c r="R6" s="1312" t="str">
        <f>+③基本情報入力【例】!V30</f>
        <v>集落排水汚泥</v>
      </c>
      <c r="S6" s="1312" t="str">
        <f>+③基本情報入力【例】!AA30</f>
        <v>生ごみ</v>
      </c>
      <c r="T6" s="1312">
        <f>+③基本情報入力【例】!AF30</f>
        <v>0</v>
      </c>
      <c r="U6" s="1312">
        <f>+③基本情報入力【例】!AK30</f>
        <v>0</v>
      </c>
      <c r="V6" s="1313">
        <f>+③基本情報入力【例】!AP30</f>
        <v>0</v>
      </c>
      <c r="W6" s="1315">
        <f>+③基本情報入力【例】!AU30</f>
        <v>0</v>
      </c>
      <c r="X6" s="1324"/>
      <c r="Y6" s="1318"/>
    </row>
    <row r="7" spans="2:27">
      <c r="B7" s="1306"/>
      <c r="C7" s="1308"/>
      <c r="D7" s="1308"/>
      <c r="E7" s="1308"/>
      <c r="F7" s="1308"/>
      <c r="G7" s="1310"/>
      <c r="H7" s="1308"/>
      <c r="I7" s="1312"/>
      <c r="J7" s="1312"/>
      <c r="K7" s="1312"/>
      <c r="L7" s="1312"/>
      <c r="M7" s="1314"/>
      <c r="N7" s="1314"/>
      <c r="O7" s="1312"/>
      <c r="P7" s="1312"/>
      <c r="Q7" s="1312"/>
      <c r="R7" s="1312"/>
      <c r="S7" s="1312"/>
      <c r="T7" s="1312"/>
      <c r="U7" s="1312"/>
      <c r="V7" s="1314"/>
      <c r="W7" s="1316"/>
      <c r="X7" s="1324"/>
      <c r="Y7" s="1318"/>
    </row>
    <row r="8" spans="2:27">
      <c r="B8" s="176" t="s">
        <v>390</v>
      </c>
      <c r="C8" s="1325" t="s">
        <v>70</v>
      </c>
      <c r="D8" s="1326" t="s">
        <v>56</v>
      </c>
      <c r="E8" s="1329" t="s">
        <v>57</v>
      </c>
      <c r="F8" s="422" t="s">
        <v>58</v>
      </c>
      <c r="G8" s="8" t="s">
        <v>50</v>
      </c>
      <c r="H8" s="212" t="s">
        <v>0</v>
      </c>
      <c r="I8" s="11">
        <f>+ROUND(③基本情報入力【例】!Q14,2)</f>
        <v>2.5</v>
      </c>
      <c r="J8" s="11">
        <f>+ROUND(③基本情報入力【例】!V14,2)</f>
        <v>1</v>
      </c>
      <c r="K8" s="11">
        <f>+ROUND(③基本情報入力【例】!AA14,2)</f>
        <v>0.7</v>
      </c>
      <c r="L8" s="11">
        <f>+ROUND(③基本情報入力【例】!AF14,2)</f>
        <v>0.5</v>
      </c>
      <c r="M8" s="11">
        <f>+ROUND(③基本情報入力【例】!AK14,2)</f>
        <v>0.1</v>
      </c>
      <c r="N8" s="11">
        <f>+ROUND(③基本情報入力【例】!AP14,2)</f>
        <v>0.3</v>
      </c>
      <c r="O8" s="11">
        <f>+ROUND(③基本情報入力【例】!AU14,2)</f>
        <v>0.5</v>
      </c>
      <c r="P8" s="11">
        <f>+ROUND(③基本情報入力【例】!L31,2)</f>
        <v>3</v>
      </c>
      <c r="Q8" s="11">
        <f>+ROUND(③基本情報入力【例】!Q31,2)</f>
        <v>15</v>
      </c>
      <c r="R8" s="11">
        <f>+ROUND(③基本情報入力【例】!V31,2)</f>
        <v>5</v>
      </c>
      <c r="S8" s="11">
        <f>+ROUND(③基本情報入力【例】!AA31,2)</f>
        <v>4</v>
      </c>
      <c r="T8" s="11">
        <f>+ROUND(③基本情報入力【例】!AF31,2)</f>
        <v>0</v>
      </c>
      <c r="U8" s="11">
        <f>+ROUND(③基本情報入力【例】!AK31,2)</f>
        <v>0</v>
      </c>
      <c r="V8" s="11">
        <f>+ROUND(③基本情報入力【例】!AP31,2)</f>
        <v>0</v>
      </c>
      <c r="W8" s="211">
        <f>+ROUND(③基本情報入力【例】!AU31,2)</f>
        <v>0</v>
      </c>
      <c r="X8" s="10">
        <f t="shared" ref="X8:X13" si="0">+SUM(I8:V8)</f>
        <v>32.6</v>
      </c>
      <c r="Y8" s="13" t="s">
        <v>169</v>
      </c>
    </row>
    <row r="9" spans="2:27">
      <c r="B9" s="416" t="s">
        <v>391</v>
      </c>
      <c r="C9" s="1326"/>
      <c r="D9" s="1328"/>
      <c r="E9" s="1330"/>
      <c r="F9" s="418" t="s">
        <v>59</v>
      </c>
      <c r="G9" s="429" t="s">
        <v>65</v>
      </c>
      <c r="H9" s="392" t="s">
        <v>0</v>
      </c>
      <c r="I9" s="14">
        <f>ROUND(+I8*I14/100,2)</f>
        <v>0</v>
      </c>
      <c r="J9" s="14">
        <f>ROUND(+J8*J14/100,2)</f>
        <v>0</v>
      </c>
      <c r="K9" s="14">
        <f t="shared" ref="K9:W9" si="1">ROUND(+K8*K14/100,2)</f>
        <v>0</v>
      </c>
      <c r="L9" s="14">
        <f t="shared" si="1"/>
        <v>0</v>
      </c>
      <c r="M9" s="14">
        <f t="shared" si="1"/>
        <v>0</v>
      </c>
      <c r="N9" s="14">
        <f t="shared" si="1"/>
        <v>0</v>
      </c>
      <c r="O9" s="14">
        <f t="shared" si="1"/>
        <v>0</v>
      </c>
      <c r="P9" s="14">
        <f t="shared" si="1"/>
        <v>0</v>
      </c>
      <c r="Q9" s="14">
        <f t="shared" si="1"/>
        <v>0</v>
      </c>
      <c r="R9" s="14">
        <f t="shared" si="1"/>
        <v>0</v>
      </c>
      <c r="S9" s="14">
        <f t="shared" si="1"/>
        <v>0</v>
      </c>
      <c r="T9" s="14">
        <f t="shared" si="1"/>
        <v>0</v>
      </c>
      <c r="U9" s="14">
        <f t="shared" si="1"/>
        <v>0</v>
      </c>
      <c r="V9" s="14">
        <f t="shared" si="1"/>
        <v>0</v>
      </c>
      <c r="W9" s="210">
        <f t="shared" si="1"/>
        <v>0</v>
      </c>
      <c r="X9" s="15">
        <f t="shared" si="0"/>
        <v>0</v>
      </c>
      <c r="Y9" s="17"/>
    </row>
    <row r="10" spans="2:27" s="279" customFormat="1">
      <c r="B10" s="273" t="s">
        <v>392</v>
      </c>
      <c r="C10" s="1326"/>
      <c r="D10" s="1331" t="s">
        <v>54</v>
      </c>
      <c r="E10" s="1332" t="s">
        <v>60</v>
      </c>
      <c r="F10" s="427" t="s">
        <v>61</v>
      </c>
      <c r="G10" s="274" t="s">
        <v>168</v>
      </c>
      <c r="H10" s="401" t="s">
        <v>0</v>
      </c>
      <c r="I10" s="275">
        <f>I8-I9</f>
        <v>2.5</v>
      </c>
      <c r="J10" s="275">
        <f>J8-J9</f>
        <v>1</v>
      </c>
      <c r="K10" s="275">
        <f t="shared" ref="K10:W10" si="2">K8-K9</f>
        <v>0.7</v>
      </c>
      <c r="L10" s="275">
        <f t="shared" si="2"/>
        <v>0.5</v>
      </c>
      <c r="M10" s="275">
        <f t="shared" si="2"/>
        <v>0.1</v>
      </c>
      <c r="N10" s="275">
        <f t="shared" si="2"/>
        <v>0.3</v>
      </c>
      <c r="O10" s="275">
        <f t="shared" si="2"/>
        <v>0.5</v>
      </c>
      <c r="P10" s="275">
        <f t="shared" si="2"/>
        <v>3</v>
      </c>
      <c r="Q10" s="275">
        <f t="shared" si="2"/>
        <v>15</v>
      </c>
      <c r="R10" s="275">
        <f t="shared" si="2"/>
        <v>5</v>
      </c>
      <c r="S10" s="275">
        <f t="shared" si="2"/>
        <v>4</v>
      </c>
      <c r="T10" s="275">
        <f t="shared" si="2"/>
        <v>0</v>
      </c>
      <c r="U10" s="275">
        <f t="shared" si="2"/>
        <v>0</v>
      </c>
      <c r="V10" s="275">
        <f t="shared" si="2"/>
        <v>0</v>
      </c>
      <c r="W10" s="306">
        <f t="shared" si="2"/>
        <v>0</v>
      </c>
      <c r="X10" s="281">
        <f t="shared" si="0"/>
        <v>32.6</v>
      </c>
      <c r="Y10" s="276"/>
      <c r="Z10" s="277"/>
      <c r="AA10" s="278"/>
    </row>
    <row r="11" spans="2:27">
      <c r="B11" s="416" t="s">
        <v>393</v>
      </c>
      <c r="C11" s="1326"/>
      <c r="D11" s="1326"/>
      <c r="E11" s="1329"/>
      <c r="F11" s="418" t="s">
        <v>62</v>
      </c>
      <c r="G11" s="429" t="s">
        <v>66</v>
      </c>
      <c r="H11" s="392" t="s">
        <v>162</v>
      </c>
      <c r="I11" s="14">
        <f>ROUND(+I10*I15/100,2)</f>
        <v>0.43</v>
      </c>
      <c r="J11" s="14">
        <f>ROUND(+J10*J15/100,2)</f>
        <v>0.16</v>
      </c>
      <c r="K11" s="14">
        <f t="shared" ref="K11:W11" si="3">ROUND(+K10*K15/100,2)</f>
        <v>0.11</v>
      </c>
      <c r="L11" s="14">
        <f t="shared" si="3"/>
        <v>0.09</v>
      </c>
      <c r="M11" s="14">
        <f t="shared" si="3"/>
        <v>0</v>
      </c>
      <c r="N11" s="14">
        <f t="shared" si="3"/>
        <v>0.05</v>
      </c>
      <c r="O11" s="14">
        <f t="shared" si="3"/>
        <v>0.01</v>
      </c>
      <c r="P11" s="14">
        <f t="shared" si="3"/>
        <v>7.0000000000000007E-2</v>
      </c>
      <c r="Q11" s="14">
        <f t="shared" si="3"/>
        <v>0.2</v>
      </c>
      <c r="R11" s="14">
        <f t="shared" si="3"/>
        <v>0.12</v>
      </c>
      <c r="S11" s="14">
        <f t="shared" si="3"/>
        <v>1.04</v>
      </c>
      <c r="T11" s="14">
        <f t="shared" si="3"/>
        <v>0</v>
      </c>
      <c r="U11" s="14">
        <f t="shared" si="3"/>
        <v>0</v>
      </c>
      <c r="V11" s="14">
        <f t="shared" si="3"/>
        <v>0</v>
      </c>
      <c r="W11" s="210">
        <f t="shared" si="3"/>
        <v>0</v>
      </c>
      <c r="X11" s="15">
        <f t="shared" si="0"/>
        <v>2.2799999999999998</v>
      </c>
      <c r="Y11" s="17"/>
    </row>
    <row r="12" spans="2:27">
      <c r="B12" s="416" t="s">
        <v>394</v>
      </c>
      <c r="C12" s="1326"/>
      <c r="D12" s="1326"/>
      <c r="E12" s="1329"/>
      <c r="F12" s="418" t="s">
        <v>63</v>
      </c>
      <c r="G12" s="19" t="s">
        <v>67</v>
      </c>
      <c r="H12" s="392" t="s">
        <v>69</v>
      </c>
      <c r="I12" s="14">
        <f>+I10-I11</f>
        <v>2.0699999999999998</v>
      </c>
      <c r="J12" s="14">
        <f>+J10-J11</f>
        <v>0.84</v>
      </c>
      <c r="K12" s="14">
        <f t="shared" ref="K12:W12" si="4">+K10-K11</f>
        <v>0.59</v>
      </c>
      <c r="L12" s="14">
        <f t="shared" si="4"/>
        <v>0.41000000000000003</v>
      </c>
      <c r="M12" s="14">
        <f t="shared" si="4"/>
        <v>0.1</v>
      </c>
      <c r="N12" s="14">
        <f t="shared" si="4"/>
        <v>0.25</v>
      </c>
      <c r="O12" s="14">
        <f t="shared" si="4"/>
        <v>0.49</v>
      </c>
      <c r="P12" s="14">
        <f t="shared" si="4"/>
        <v>2.93</v>
      </c>
      <c r="Q12" s="14">
        <f t="shared" si="4"/>
        <v>14.8</v>
      </c>
      <c r="R12" s="14">
        <f t="shared" si="4"/>
        <v>4.88</v>
      </c>
      <c r="S12" s="14">
        <f t="shared" si="4"/>
        <v>2.96</v>
      </c>
      <c r="T12" s="14">
        <f t="shared" si="4"/>
        <v>0</v>
      </c>
      <c r="U12" s="14">
        <f t="shared" si="4"/>
        <v>0</v>
      </c>
      <c r="V12" s="14">
        <f t="shared" si="4"/>
        <v>0</v>
      </c>
      <c r="W12" s="210">
        <f t="shared" si="4"/>
        <v>0</v>
      </c>
      <c r="X12" s="15">
        <f t="shared" si="0"/>
        <v>30.32</v>
      </c>
      <c r="Y12" s="17"/>
    </row>
    <row r="13" spans="2:27" ht="15.75" customHeight="1" thickBot="1">
      <c r="B13" s="416" t="s">
        <v>395</v>
      </c>
      <c r="C13" s="1327"/>
      <c r="D13" s="1327"/>
      <c r="E13" s="1333"/>
      <c r="F13" s="192" t="s">
        <v>64</v>
      </c>
      <c r="G13" s="204" t="s">
        <v>68</v>
      </c>
      <c r="H13" s="392" t="s">
        <v>35</v>
      </c>
      <c r="I13" s="190">
        <f>ROUND(+I11*I16/100,2)</f>
        <v>0.35</v>
      </c>
      <c r="J13" s="190">
        <f>ROUND(+J11*J16/100,2)</f>
        <v>0.13</v>
      </c>
      <c r="K13" s="190">
        <f t="shared" ref="K13:W13" si="5">ROUND(+K11*K16/100,2)</f>
        <v>0.09</v>
      </c>
      <c r="L13" s="190">
        <f t="shared" si="5"/>
        <v>7.0000000000000007E-2</v>
      </c>
      <c r="M13" s="190">
        <f t="shared" si="5"/>
        <v>0</v>
      </c>
      <c r="N13" s="190">
        <f t="shared" si="5"/>
        <v>0.04</v>
      </c>
      <c r="O13" s="190">
        <f t="shared" si="5"/>
        <v>0.01</v>
      </c>
      <c r="P13" s="190">
        <f t="shared" si="5"/>
        <v>0.04</v>
      </c>
      <c r="Q13" s="190">
        <f t="shared" si="5"/>
        <v>0.16</v>
      </c>
      <c r="R13" s="190">
        <f t="shared" si="5"/>
        <v>0.09</v>
      </c>
      <c r="S13" s="190">
        <f t="shared" si="5"/>
        <v>0.91</v>
      </c>
      <c r="T13" s="190">
        <f t="shared" si="5"/>
        <v>0</v>
      </c>
      <c r="U13" s="190">
        <f t="shared" si="5"/>
        <v>0</v>
      </c>
      <c r="V13" s="190">
        <f t="shared" si="5"/>
        <v>0</v>
      </c>
      <c r="W13" s="307">
        <f t="shared" si="5"/>
        <v>0</v>
      </c>
      <c r="X13" s="205">
        <f t="shared" si="0"/>
        <v>1.8900000000000001</v>
      </c>
      <c r="Y13" s="193"/>
    </row>
    <row r="14" spans="2:27" ht="13.5" customHeight="1">
      <c r="B14" s="262" t="s">
        <v>396</v>
      </c>
      <c r="C14" s="1334" t="s">
        <v>89</v>
      </c>
      <c r="D14" s="428" t="s">
        <v>56</v>
      </c>
      <c r="E14" s="421" t="s">
        <v>57</v>
      </c>
      <c r="F14" s="421" t="s">
        <v>71</v>
      </c>
      <c r="G14" s="183" t="s">
        <v>50</v>
      </c>
      <c r="H14" s="263" t="s">
        <v>53</v>
      </c>
      <c r="I14" s="42">
        <f>+ROUND(③基本情報入力【例】!L16,1)</f>
        <v>0</v>
      </c>
      <c r="J14" s="42">
        <f>+ROUND(③基本情報入力【例】!V16,1)</f>
        <v>0</v>
      </c>
      <c r="K14" s="42">
        <f>+ROUND(③基本情報入力【例】!AA16,1)</f>
        <v>0</v>
      </c>
      <c r="L14" s="42">
        <f>+ROUND(③基本情報入力【例】!AF16,1)</f>
        <v>0</v>
      </c>
      <c r="M14" s="42">
        <f>+ROUND(③基本情報入力【例】!AK16,1)</f>
        <v>0</v>
      </c>
      <c r="N14" s="42">
        <f>+ROUND(③基本情報入力【例】!AP16,1)</f>
        <v>0</v>
      </c>
      <c r="O14" s="42">
        <f>+ROUND(③基本情報入力【例】!AU16,1)</f>
        <v>0</v>
      </c>
      <c r="P14" s="42">
        <f>+ROUND(③基本情報入力【例】!L33,1)</f>
        <v>0</v>
      </c>
      <c r="Q14" s="42">
        <f>+ROUND(③基本情報入力【例】!Q33,1)</f>
        <v>0</v>
      </c>
      <c r="R14" s="42">
        <f>+ROUND(③基本情報入力【例】!V33,1)</f>
        <v>0</v>
      </c>
      <c r="S14" s="42">
        <f>+ROUND(③基本情報入力【例】!AA33,1)</f>
        <v>0</v>
      </c>
      <c r="T14" s="42">
        <f>+ROUND(③基本情報入力【例】!AF33,1)</f>
        <v>0</v>
      </c>
      <c r="U14" s="42">
        <f>+ROUND(③基本情報入力【例】!AK33,1)</f>
        <v>0</v>
      </c>
      <c r="V14" s="42">
        <f>+ROUND(③基本情報入力【例】!AP33,1)</f>
        <v>0</v>
      </c>
      <c r="W14" s="61">
        <f>+ROUND(③基本情報入力【例】!AU33,1)</f>
        <v>0</v>
      </c>
      <c r="X14" s="59">
        <f>+ROUND(X9/X8*100,1)</f>
        <v>0</v>
      </c>
      <c r="Y14" s="20"/>
    </row>
    <row r="15" spans="2:27" ht="13.5" customHeight="1">
      <c r="B15" s="416" t="s">
        <v>397</v>
      </c>
      <c r="C15" s="1325"/>
      <c r="D15" s="1331" t="s">
        <v>54</v>
      </c>
      <c r="E15" s="1535" t="s">
        <v>60</v>
      </c>
      <c r="F15" s="21" t="s">
        <v>51</v>
      </c>
      <c r="G15" s="19" t="s">
        <v>50</v>
      </c>
      <c r="H15" s="596" t="s">
        <v>53</v>
      </c>
      <c r="I15" s="43">
        <f>+ROUND(③基本情報入力【例】!Q17,1)</f>
        <v>17</v>
      </c>
      <c r="J15" s="43">
        <f>+ROUND(③基本情報入力【例】!V17,1)</f>
        <v>16</v>
      </c>
      <c r="K15" s="43">
        <f>+ROUND(③基本情報入力【例】!AA17,1)</f>
        <v>16</v>
      </c>
      <c r="L15" s="43">
        <f>+ROUND(③基本情報入力【例】!AF17,1)</f>
        <v>17</v>
      </c>
      <c r="M15" s="43">
        <f>+ROUND(③基本情報入力【例】!AK17,1)</f>
        <v>1.5</v>
      </c>
      <c r="N15" s="43">
        <f>+ROUND(③基本情報入力【例】!AP17,1)</f>
        <v>16</v>
      </c>
      <c r="O15" s="43">
        <f>+ROUND(③基本情報入力【例】!AU17,1)</f>
        <v>1.1000000000000001</v>
      </c>
      <c r="P15" s="43">
        <f>+ROUND(③基本情報入力【例】!L34,1)</f>
        <v>2.4</v>
      </c>
      <c r="Q15" s="43">
        <f>+ROUND(③基本情報入力【例】!Q34,1)</f>
        <v>1.3</v>
      </c>
      <c r="R15" s="43">
        <f>+ROUND(③基本情報入力【例】!V34,1)</f>
        <v>2.2999999999999998</v>
      </c>
      <c r="S15" s="43">
        <f>+ROUND(③基本情報入力【例】!AA34,1)</f>
        <v>25.9</v>
      </c>
      <c r="T15" s="43">
        <f>+ROUND(③基本情報入力【例】!AF34,1)</f>
        <v>0</v>
      </c>
      <c r="U15" s="43">
        <f>+ROUND(③基本情報入力【例】!AK34,1)</f>
        <v>0</v>
      </c>
      <c r="V15" s="43">
        <f>+ROUND(③基本情報入力【例】!AP34,1)</f>
        <v>0</v>
      </c>
      <c r="W15" s="62">
        <f>+ROUND(③基本情報入力【例】!AU34,1)</f>
        <v>0</v>
      </c>
      <c r="X15" s="26">
        <f>IF(X10=0,0,ROUND(+X11/X10*100,1))</f>
        <v>7</v>
      </c>
      <c r="Y15" s="40"/>
    </row>
    <row r="16" spans="2:27">
      <c r="B16" s="416" t="s">
        <v>398</v>
      </c>
      <c r="C16" s="1325"/>
      <c r="D16" s="1325"/>
      <c r="E16" s="1535"/>
      <c r="F16" s="21" t="s">
        <v>52</v>
      </c>
      <c r="G16" s="19" t="s">
        <v>50</v>
      </c>
      <c r="H16" s="596" t="s">
        <v>91</v>
      </c>
      <c r="I16" s="43">
        <f>+ROUND(③基本情報入力【例】!Q18,1)</f>
        <v>80.7</v>
      </c>
      <c r="J16" s="43">
        <f>+ROUND(③基本情報入力【例】!V18,1)</f>
        <v>80.7</v>
      </c>
      <c r="K16" s="43">
        <f>+ROUND(③基本情報入力【例】!AA18,1)</f>
        <v>80.7</v>
      </c>
      <c r="L16" s="43">
        <f>+ROUND(③基本情報入力【例】!AF18,1)</f>
        <v>80.7</v>
      </c>
      <c r="M16" s="43">
        <f>+ROUND(③基本情報入力【例】!AK18,1)</f>
        <v>80.7</v>
      </c>
      <c r="N16" s="43">
        <f>+ROUND(③基本情報入力【例】!AP18,1)</f>
        <v>80.7</v>
      </c>
      <c r="O16" s="43">
        <f>+ROUND(③基本情報入力【例】!AU18,1)</f>
        <v>80.7</v>
      </c>
      <c r="P16" s="43">
        <f>+ROUND(③基本情報入力【例】!L35,1)</f>
        <v>55.6</v>
      </c>
      <c r="Q16" s="43">
        <f>+ROUND(③基本情報入力【例】!Q35,1)</f>
        <v>78.599999999999994</v>
      </c>
      <c r="R16" s="43">
        <f>+ROUND(③基本情報入力【例】!V35,1)</f>
        <v>73.599999999999994</v>
      </c>
      <c r="S16" s="43">
        <f>+ROUND(③基本情報入力【例】!AA35,1)</f>
        <v>87.9</v>
      </c>
      <c r="T16" s="43">
        <f>+ROUND(③基本情報入力【例】!AF35,1)</f>
        <v>0</v>
      </c>
      <c r="U16" s="43">
        <f>+ROUND(③基本情報入力【例】!AK35,1)</f>
        <v>0</v>
      </c>
      <c r="V16" s="43">
        <f>+ROUND(③基本情報入力【例】!AP35,1)</f>
        <v>0</v>
      </c>
      <c r="W16" s="62">
        <f>+ROUND(③基本情報入力【例】!AU35,1)</f>
        <v>0</v>
      </c>
      <c r="X16" s="26">
        <f>+ROUND(X13/X11*100,1)</f>
        <v>82.9</v>
      </c>
      <c r="Y16" s="22"/>
    </row>
    <row r="17" spans="2:28">
      <c r="B17" s="416" t="s">
        <v>399</v>
      </c>
      <c r="C17" s="1325"/>
      <c r="D17" s="1325"/>
      <c r="E17" s="1535" t="s">
        <v>72</v>
      </c>
      <c r="F17" s="597" t="s">
        <v>73</v>
      </c>
      <c r="G17" s="19" t="s">
        <v>50</v>
      </c>
      <c r="H17" s="596" t="s">
        <v>53</v>
      </c>
      <c r="I17" s="267">
        <f>+ROUND(③基本情報入力【例】!Q19*IF(③基本情報入力【例】!E98="〇","1.3","1"),1)</f>
        <v>30</v>
      </c>
      <c r="J17" s="43">
        <f>+ROUND(③基本情報入力【例】!V19*IF(③基本情報入力【例】!E98="〇","1.3","1"),1)</f>
        <v>30</v>
      </c>
      <c r="K17" s="43">
        <f>+ROUND(③基本情報入力【例】!AA19*IF(③基本情報入力【例】!E98="〇","1.3","1"),1)</f>
        <v>30</v>
      </c>
      <c r="L17" s="43">
        <f>+ROUND(③基本情報入力【例】!AF19*IF(③基本情報入力【例】!E98="〇","1.3","1"),1)</f>
        <v>30</v>
      </c>
      <c r="M17" s="43">
        <f>+ROUND(③基本情報入力【例】!AK19*IF(③基本情報入力【例】!E98="〇","1.3","1"),1)</f>
        <v>30</v>
      </c>
      <c r="N17" s="43">
        <f>+ROUND(③基本情報入力【例】!AP19*IF(③基本情報入力【例】!E98="〇","1.3","1"),1)</f>
        <v>30</v>
      </c>
      <c r="O17" s="43">
        <f>+ROUND(③基本情報入力【例】!AU19*IF(③基本情報入力【例】!E98="〇","1.3","1"),1)</f>
        <v>30</v>
      </c>
      <c r="P17" s="43">
        <f>+ROUND(③基本情報入力【例】!L36,1)</f>
        <v>46</v>
      </c>
      <c r="Q17" s="43">
        <f>+ROUND(③基本情報入力【例】!Q36,1)</f>
        <v>46</v>
      </c>
      <c r="R17" s="43">
        <f>+ROUND(③基本情報入力【例】!V36,1)</f>
        <v>46</v>
      </c>
      <c r="S17" s="43">
        <f>+ROUND(③基本情報入力【例】!AA36,1)</f>
        <v>78</v>
      </c>
      <c r="T17" s="43">
        <f>+ROUND(③基本情報入力【例】!AF36,1)</f>
        <v>0</v>
      </c>
      <c r="U17" s="43">
        <f>+ROUND(③基本情報入力【例】!AK36,1)</f>
        <v>0</v>
      </c>
      <c r="V17" s="43">
        <f>+ROUND(③基本情報入力【例】!AP36,1)</f>
        <v>0</v>
      </c>
      <c r="W17" s="62">
        <f>+ROUND(③基本情報入力【例】!AU36,1)</f>
        <v>0</v>
      </c>
      <c r="X17" s="26">
        <f>+ROUND(X30/X13*100,1)</f>
        <v>55.6</v>
      </c>
      <c r="Y17" s="22"/>
    </row>
    <row r="18" spans="2:28" ht="15.75">
      <c r="B18" s="416" t="s">
        <v>400</v>
      </c>
      <c r="C18" s="1325"/>
      <c r="D18" s="1325"/>
      <c r="E18" s="1535"/>
      <c r="F18" s="21" t="s">
        <v>74</v>
      </c>
      <c r="G18" s="19" t="s">
        <v>50</v>
      </c>
      <c r="H18" s="596" t="s">
        <v>165</v>
      </c>
      <c r="I18" s="43">
        <f>+ROUND(③基本情報入力【例】!Q20,1)</f>
        <v>0.6</v>
      </c>
      <c r="J18" s="43">
        <f>+ROUND(③基本情報入力【例】!V20,1)</f>
        <v>0.6</v>
      </c>
      <c r="K18" s="43">
        <f>+ROUND(③基本情報入力【例】!AA20,1)</f>
        <v>0.6</v>
      </c>
      <c r="L18" s="43">
        <f>+ROUND(③基本情報入力【例】!AF20,1)</f>
        <v>0.6</v>
      </c>
      <c r="M18" s="43">
        <f>+ROUND(③基本情報入力【例】!AK20,1)</f>
        <v>0.6</v>
      </c>
      <c r="N18" s="43">
        <f>+ROUND(③基本情報入力【例】!AP20,1)</f>
        <v>0.6</v>
      </c>
      <c r="O18" s="43">
        <f>+ROUND(③基本情報入力【例】!AU20,1)</f>
        <v>0.6</v>
      </c>
      <c r="P18" s="43">
        <f>+ROUND(③基本情報入力【例】!L37,1)</f>
        <v>0.8</v>
      </c>
      <c r="Q18" s="43">
        <f>+ROUND(③基本情報入力【例】!Q37,1)</f>
        <v>0.8</v>
      </c>
      <c r="R18" s="43">
        <f>+ROUND(③基本情報入力【例】!V37,1)</f>
        <v>0.8</v>
      </c>
      <c r="S18" s="43">
        <f>+ROUND(③基本情報入力【例】!AA37,1)</f>
        <v>0.9</v>
      </c>
      <c r="T18" s="43">
        <f>+ROUND(③基本情報入力【例】!AF37,1)</f>
        <v>0</v>
      </c>
      <c r="U18" s="43">
        <f>+ROUND(③基本情報入力【例】!AK37,1)</f>
        <v>0</v>
      </c>
      <c r="V18" s="43">
        <f>+ROUND(③基本情報入力【例】!AP37,1)</f>
        <v>0</v>
      </c>
      <c r="W18" s="62">
        <f>+ROUND(③基本情報入力【例】!AU37,1)</f>
        <v>0</v>
      </c>
      <c r="X18" s="26">
        <f>+ROUND(X33/X30/1000,2)</f>
        <v>0.83</v>
      </c>
      <c r="Y18" s="22"/>
    </row>
    <row r="19" spans="2:28" ht="15.75">
      <c r="B19" s="416" t="s">
        <v>401</v>
      </c>
      <c r="C19" s="1325"/>
      <c r="D19" s="1325"/>
      <c r="E19" s="1535"/>
      <c r="F19" s="23" t="s">
        <v>75</v>
      </c>
      <c r="G19" s="19" t="s">
        <v>79</v>
      </c>
      <c r="H19" s="596" t="s">
        <v>166</v>
      </c>
      <c r="I19" s="45">
        <f t="shared" ref="I19:W19" si="6">+$X$19</f>
        <v>35739</v>
      </c>
      <c r="J19" s="45">
        <f t="shared" si="6"/>
        <v>35739</v>
      </c>
      <c r="K19" s="45">
        <f t="shared" si="6"/>
        <v>35739</v>
      </c>
      <c r="L19" s="45">
        <f t="shared" si="6"/>
        <v>35739</v>
      </c>
      <c r="M19" s="45">
        <f t="shared" si="6"/>
        <v>35739</v>
      </c>
      <c r="N19" s="45">
        <f t="shared" si="6"/>
        <v>35739</v>
      </c>
      <c r="O19" s="45">
        <f t="shared" si="6"/>
        <v>35739</v>
      </c>
      <c r="P19" s="45">
        <f t="shared" si="6"/>
        <v>35739</v>
      </c>
      <c r="Q19" s="45">
        <f t="shared" si="6"/>
        <v>35739</v>
      </c>
      <c r="R19" s="45">
        <f t="shared" si="6"/>
        <v>35739</v>
      </c>
      <c r="S19" s="45">
        <f t="shared" si="6"/>
        <v>35739</v>
      </c>
      <c r="T19" s="45">
        <f t="shared" si="6"/>
        <v>35739</v>
      </c>
      <c r="U19" s="45">
        <f t="shared" si="6"/>
        <v>35739</v>
      </c>
      <c r="V19" s="45">
        <f t="shared" si="6"/>
        <v>35739</v>
      </c>
      <c r="W19" s="63">
        <f t="shared" si="6"/>
        <v>35739</v>
      </c>
      <c r="X19" s="41">
        <f>+③基本情報入力【例】!J76</f>
        <v>35739</v>
      </c>
      <c r="Y19" s="1353" t="s">
        <v>579</v>
      </c>
    </row>
    <row r="20" spans="2:28">
      <c r="B20" s="416" t="s">
        <v>402</v>
      </c>
      <c r="C20" s="1325"/>
      <c r="D20" s="1325"/>
      <c r="E20" s="1535"/>
      <c r="F20" s="21" t="s">
        <v>76</v>
      </c>
      <c r="G20" s="19" t="s">
        <v>50</v>
      </c>
      <c r="H20" s="596" t="s">
        <v>53</v>
      </c>
      <c r="I20" s="45">
        <f t="shared" ref="I20:W20" si="7">$X$20</f>
        <v>60</v>
      </c>
      <c r="J20" s="45">
        <f t="shared" si="7"/>
        <v>60</v>
      </c>
      <c r="K20" s="45">
        <f t="shared" si="7"/>
        <v>60</v>
      </c>
      <c r="L20" s="45">
        <f t="shared" si="7"/>
        <v>60</v>
      </c>
      <c r="M20" s="45">
        <f t="shared" si="7"/>
        <v>60</v>
      </c>
      <c r="N20" s="45">
        <f t="shared" si="7"/>
        <v>60</v>
      </c>
      <c r="O20" s="45">
        <f t="shared" si="7"/>
        <v>60</v>
      </c>
      <c r="P20" s="45">
        <f t="shared" si="7"/>
        <v>60</v>
      </c>
      <c r="Q20" s="45">
        <f t="shared" si="7"/>
        <v>60</v>
      </c>
      <c r="R20" s="45">
        <f t="shared" si="7"/>
        <v>60</v>
      </c>
      <c r="S20" s="45">
        <f t="shared" si="7"/>
        <v>60</v>
      </c>
      <c r="T20" s="45">
        <f t="shared" si="7"/>
        <v>60</v>
      </c>
      <c r="U20" s="45">
        <f t="shared" si="7"/>
        <v>60</v>
      </c>
      <c r="V20" s="45">
        <f t="shared" si="7"/>
        <v>60</v>
      </c>
      <c r="W20" s="63">
        <f t="shared" si="7"/>
        <v>60</v>
      </c>
      <c r="X20" s="41">
        <f>+③基本情報入力【例】!J75</f>
        <v>60</v>
      </c>
      <c r="Y20" s="1354"/>
      <c r="AB20" s="24"/>
    </row>
    <row r="21" spans="2:28" ht="15.75">
      <c r="B21" s="416" t="s">
        <v>403</v>
      </c>
      <c r="C21" s="1325"/>
      <c r="D21" s="1325"/>
      <c r="E21" s="1535"/>
      <c r="F21" s="21" t="s">
        <v>77</v>
      </c>
      <c r="G21" s="19" t="s">
        <v>374</v>
      </c>
      <c r="H21" s="596" t="s">
        <v>166</v>
      </c>
      <c r="I21" s="25">
        <f>ROUND(+I19*I20/100,2)</f>
        <v>21443.4</v>
      </c>
      <c r="J21" s="25">
        <f>ROUND(+J19*J20/100,2)</f>
        <v>21443.4</v>
      </c>
      <c r="K21" s="25">
        <f t="shared" ref="K21:O21" si="8">ROUND(+K19*K20/100,2)</f>
        <v>21443.4</v>
      </c>
      <c r="L21" s="25">
        <f t="shared" si="8"/>
        <v>21443.4</v>
      </c>
      <c r="M21" s="25">
        <f t="shared" si="8"/>
        <v>21443.4</v>
      </c>
      <c r="N21" s="25">
        <f t="shared" si="8"/>
        <v>21443.4</v>
      </c>
      <c r="O21" s="25">
        <f t="shared" si="8"/>
        <v>21443.4</v>
      </c>
      <c r="P21" s="25">
        <f>ROUND(+P19*P20/100,2)</f>
        <v>21443.4</v>
      </c>
      <c r="Q21" s="25">
        <f>ROUND(+Q19*Q20/100,2)</f>
        <v>21443.4</v>
      </c>
      <c r="R21" s="25">
        <f t="shared" ref="R21" si="9">ROUND(+R19*R20/100,2)</f>
        <v>21443.4</v>
      </c>
      <c r="S21" s="25">
        <f>ROUND(+S19*S20/100,2)</f>
        <v>21443.4</v>
      </c>
      <c r="T21" s="25">
        <f>ROUND(+T19*T20/100,2)</f>
        <v>21443.4</v>
      </c>
      <c r="U21" s="25">
        <f t="shared" ref="U21:W21" si="10">ROUND(+U19*U20/100,2)</f>
        <v>21443.4</v>
      </c>
      <c r="V21" s="25">
        <f t="shared" si="10"/>
        <v>21443.4</v>
      </c>
      <c r="W21" s="64">
        <f t="shared" si="10"/>
        <v>21443.4</v>
      </c>
      <c r="X21" s="44">
        <f>ROUND(+X19*X20/100,2)</f>
        <v>21443.4</v>
      </c>
      <c r="Y21" s="1354"/>
    </row>
    <row r="22" spans="2:28">
      <c r="B22" s="416" t="s">
        <v>404</v>
      </c>
      <c r="C22" s="1325"/>
      <c r="D22" s="1325"/>
      <c r="E22" s="1536" t="s">
        <v>106</v>
      </c>
      <c r="F22" s="27" t="s">
        <v>104</v>
      </c>
      <c r="G22" s="19" t="s">
        <v>50</v>
      </c>
      <c r="H22" s="596" t="s">
        <v>107</v>
      </c>
      <c r="I22" s="46">
        <f t="shared" ref="I22:W22" si="11">$X$22</f>
        <v>35</v>
      </c>
      <c r="J22" s="46">
        <f t="shared" si="11"/>
        <v>35</v>
      </c>
      <c r="K22" s="46">
        <f t="shared" si="11"/>
        <v>35</v>
      </c>
      <c r="L22" s="46">
        <f t="shared" si="11"/>
        <v>35</v>
      </c>
      <c r="M22" s="46">
        <f t="shared" si="11"/>
        <v>35</v>
      </c>
      <c r="N22" s="46">
        <f t="shared" si="11"/>
        <v>35</v>
      </c>
      <c r="O22" s="46">
        <f t="shared" si="11"/>
        <v>35</v>
      </c>
      <c r="P22" s="46">
        <f t="shared" si="11"/>
        <v>35</v>
      </c>
      <c r="Q22" s="46">
        <f t="shared" si="11"/>
        <v>35</v>
      </c>
      <c r="R22" s="46">
        <f t="shared" si="11"/>
        <v>35</v>
      </c>
      <c r="S22" s="46">
        <f t="shared" si="11"/>
        <v>35</v>
      </c>
      <c r="T22" s="46">
        <f t="shared" si="11"/>
        <v>35</v>
      </c>
      <c r="U22" s="46">
        <f t="shared" si="11"/>
        <v>35</v>
      </c>
      <c r="V22" s="46">
        <f t="shared" si="11"/>
        <v>35</v>
      </c>
      <c r="W22" s="65">
        <f t="shared" si="11"/>
        <v>35</v>
      </c>
      <c r="X22" s="60">
        <f>+③基本情報入力【例】!J73</f>
        <v>35</v>
      </c>
      <c r="Y22" s="1354"/>
    </row>
    <row r="23" spans="2:28">
      <c r="B23" s="416" t="s">
        <v>405</v>
      </c>
      <c r="C23" s="1325"/>
      <c r="D23" s="1325"/>
      <c r="E23" s="1536"/>
      <c r="F23" s="27" t="s">
        <v>105</v>
      </c>
      <c r="G23" s="19" t="s">
        <v>50</v>
      </c>
      <c r="H23" s="596" t="s">
        <v>107</v>
      </c>
      <c r="I23" s="46">
        <f t="shared" ref="I23:W23" si="12">$X$23</f>
        <v>10</v>
      </c>
      <c r="J23" s="46">
        <f t="shared" si="12"/>
        <v>10</v>
      </c>
      <c r="K23" s="46">
        <f t="shared" si="12"/>
        <v>10</v>
      </c>
      <c r="L23" s="46">
        <f t="shared" si="12"/>
        <v>10</v>
      </c>
      <c r="M23" s="46">
        <f t="shared" si="12"/>
        <v>10</v>
      </c>
      <c r="N23" s="46">
        <f t="shared" si="12"/>
        <v>10</v>
      </c>
      <c r="O23" s="46">
        <f t="shared" si="12"/>
        <v>10</v>
      </c>
      <c r="P23" s="46">
        <f t="shared" si="12"/>
        <v>10</v>
      </c>
      <c r="Q23" s="46">
        <f t="shared" si="12"/>
        <v>10</v>
      </c>
      <c r="R23" s="46">
        <f t="shared" si="12"/>
        <v>10</v>
      </c>
      <c r="S23" s="46">
        <f t="shared" si="12"/>
        <v>10</v>
      </c>
      <c r="T23" s="46">
        <f t="shared" si="12"/>
        <v>10</v>
      </c>
      <c r="U23" s="46">
        <f t="shared" si="12"/>
        <v>10</v>
      </c>
      <c r="V23" s="46">
        <f t="shared" si="12"/>
        <v>10</v>
      </c>
      <c r="W23" s="65">
        <f t="shared" si="12"/>
        <v>10</v>
      </c>
      <c r="X23" s="60">
        <f>+③基本情報入力【例】!J74</f>
        <v>10</v>
      </c>
      <c r="Y23" s="1354"/>
    </row>
    <row r="24" spans="2:28">
      <c r="B24" s="416" t="s">
        <v>406</v>
      </c>
      <c r="C24" s="1325"/>
      <c r="D24" s="1347" t="s">
        <v>353</v>
      </c>
      <c r="E24" s="1537" t="s">
        <v>223</v>
      </c>
      <c r="F24" s="1538"/>
      <c r="G24" s="19" t="s">
        <v>50</v>
      </c>
      <c r="H24" s="596" t="s">
        <v>53</v>
      </c>
      <c r="I24" s="46">
        <f>$X$24</f>
        <v>35</v>
      </c>
      <c r="J24" s="46">
        <f t="shared" ref="J24:W24" si="13">$X$24</f>
        <v>35</v>
      </c>
      <c r="K24" s="46">
        <f t="shared" si="13"/>
        <v>35</v>
      </c>
      <c r="L24" s="46">
        <f t="shared" si="13"/>
        <v>35</v>
      </c>
      <c r="M24" s="46">
        <f t="shared" si="13"/>
        <v>35</v>
      </c>
      <c r="N24" s="46">
        <f t="shared" si="13"/>
        <v>35</v>
      </c>
      <c r="O24" s="46">
        <f t="shared" si="13"/>
        <v>35</v>
      </c>
      <c r="P24" s="46">
        <f t="shared" si="13"/>
        <v>35</v>
      </c>
      <c r="Q24" s="46">
        <f t="shared" si="13"/>
        <v>35</v>
      </c>
      <c r="R24" s="46">
        <f t="shared" si="13"/>
        <v>35</v>
      </c>
      <c r="S24" s="46">
        <f t="shared" si="13"/>
        <v>35</v>
      </c>
      <c r="T24" s="46">
        <f t="shared" si="13"/>
        <v>35</v>
      </c>
      <c r="U24" s="46">
        <f t="shared" si="13"/>
        <v>35</v>
      </c>
      <c r="V24" s="46">
        <f t="shared" si="13"/>
        <v>35</v>
      </c>
      <c r="W24" s="65">
        <f t="shared" si="13"/>
        <v>35</v>
      </c>
      <c r="X24" s="60">
        <f>+③基本情報入力【例】!J67</f>
        <v>35</v>
      </c>
      <c r="Y24" s="1354"/>
    </row>
    <row r="25" spans="2:28">
      <c r="B25" s="416" t="s">
        <v>407</v>
      </c>
      <c r="C25" s="1325"/>
      <c r="D25" s="1348"/>
      <c r="E25" s="1537" t="s">
        <v>224</v>
      </c>
      <c r="F25" s="1538"/>
      <c r="G25" s="19" t="s">
        <v>50</v>
      </c>
      <c r="H25" s="596" t="s">
        <v>217</v>
      </c>
      <c r="I25" s="46">
        <f>$X$25</f>
        <v>0.93</v>
      </c>
      <c r="J25" s="46">
        <f t="shared" ref="J25:W25" si="14">$X$25</f>
        <v>0.93</v>
      </c>
      <c r="K25" s="46">
        <f t="shared" si="14"/>
        <v>0.93</v>
      </c>
      <c r="L25" s="46">
        <f t="shared" si="14"/>
        <v>0.93</v>
      </c>
      <c r="M25" s="46">
        <f t="shared" si="14"/>
        <v>0.93</v>
      </c>
      <c r="N25" s="46">
        <f t="shared" si="14"/>
        <v>0.93</v>
      </c>
      <c r="O25" s="46">
        <f t="shared" si="14"/>
        <v>0.93</v>
      </c>
      <c r="P25" s="46">
        <f t="shared" si="14"/>
        <v>0.93</v>
      </c>
      <c r="Q25" s="46">
        <f t="shared" si="14"/>
        <v>0.93</v>
      </c>
      <c r="R25" s="46">
        <f t="shared" si="14"/>
        <v>0.93</v>
      </c>
      <c r="S25" s="46">
        <f t="shared" si="14"/>
        <v>0.93</v>
      </c>
      <c r="T25" s="46">
        <f t="shared" si="14"/>
        <v>0.93</v>
      </c>
      <c r="U25" s="46">
        <f t="shared" si="14"/>
        <v>0.93</v>
      </c>
      <c r="V25" s="46">
        <f t="shared" si="14"/>
        <v>0.93</v>
      </c>
      <c r="W25" s="65">
        <f t="shared" si="14"/>
        <v>0.93</v>
      </c>
      <c r="X25" s="60">
        <f>+③基本情報入力【例】!J68</f>
        <v>0.93</v>
      </c>
      <c r="Y25" s="1354"/>
    </row>
    <row r="26" spans="2:28">
      <c r="B26" s="188" t="s">
        <v>408</v>
      </c>
      <c r="C26" s="1325"/>
      <c r="D26" s="1349"/>
      <c r="E26" s="598" t="s">
        <v>225</v>
      </c>
      <c r="F26" s="599"/>
      <c r="G26" s="19" t="s">
        <v>50</v>
      </c>
      <c r="H26" s="596" t="s">
        <v>53</v>
      </c>
      <c r="I26" s="46">
        <f>$X$26</f>
        <v>50</v>
      </c>
      <c r="J26" s="46">
        <f t="shared" ref="J26:W26" si="15">$X$26</f>
        <v>50</v>
      </c>
      <c r="K26" s="46">
        <f t="shared" si="15"/>
        <v>50</v>
      </c>
      <c r="L26" s="46">
        <f t="shared" si="15"/>
        <v>50</v>
      </c>
      <c r="M26" s="46">
        <f t="shared" si="15"/>
        <v>50</v>
      </c>
      <c r="N26" s="46">
        <f t="shared" si="15"/>
        <v>50</v>
      </c>
      <c r="O26" s="46">
        <f t="shared" si="15"/>
        <v>50</v>
      </c>
      <c r="P26" s="46">
        <f t="shared" si="15"/>
        <v>50</v>
      </c>
      <c r="Q26" s="46">
        <f t="shared" si="15"/>
        <v>50</v>
      </c>
      <c r="R26" s="46">
        <f t="shared" si="15"/>
        <v>50</v>
      </c>
      <c r="S26" s="46">
        <f t="shared" si="15"/>
        <v>50</v>
      </c>
      <c r="T26" s="46">
        <f t="shared" si="15"/>
        <v>50</v>
      </c>
      <c r="U26" s="46">
        <f t="shared" si="15"/>
        <v>50</v>
      </c>
      <c r="V26" s="46">
        <f t="shared" si="15"/>
        <v>50</v>
      </c>
      <c r="W26" s="65">
        <f t="shared" si="15"/>
        <v>50</v>
      </c>
      <c r="X26" s="60">
        <f>+③基本情報入力【例】!J69</f>
        <v>50</v>
      </c>
      <c r="Y26" s="1354"/>
    </row>
    <row r="27" spans="2:28">
      <c r="B27" s="416" t="s">
        <v>409</v>
      </c>
      <c r="C27" s="1325"/>
      <c r="D27" s="420" t="s">
        <v>30</v>
      </c>
      <c r="E27" s="1537" t="s">
        <v>78</v>
      </c>
      <c r="F27" s="1538"/>
      <c r="G27" s="19" t="s">
        <v>50</v>
      </c>
      <c r="H27" s="596" t="s">
        <v>53</v>
      </c>
      <c r="I27" s="45">
        <f t="shared" ref="I27:W27" si="16">$X$27</f>
        <v>85</v>
      </c>
      <c r="J27" s="45">
        <f t="shared" si="16"/>
        <v>85</v>
      </c>
      <c r="K27" s="45">
        <f t="shared" si="16"/>
        <v>85</v>
      </c>
      <c r="L27" s="45">
        <f t="shared" si="16"/>
        <v>85</v>
      </c>
      <c r="M27" s="45">
        <f t="shared" si="16"/>
        <v>85</v>
      </c>
      <c r="N27" s="45">
        <f t="shared" si="16"/>
        <v>85</v>
      </c>
      <c r="O27" s="45">
        <f t="shared" si="16"/>
        <v>85</v>
      </c>
      <c r="P27" s="45">
        <f t="shared" si="16"/>
        <v>85</v>
      </c>
      <c r="Q27" s="45">
        <f t="shared" si="16"/>
        <v>85</v>
      </c>
      <c r="R27" s="45">
        <f t="shared" si="16"/>
        <v>85</v>
      </c>
      <c r="S27" s="45">
        <f t="shared" si="16"/>
        <v>85</v>
      </c>
      <c r="T27" s="45">
        <f t="shared" si="16"/>
        <v>85</v>
      </c>
      <c r="U27" s="45">
        <f t="shared" si="16"/>
        <v>85</v>
      </c>
      <c r="V27" s="45">
        <f t="shared" si="16"/>
        <v>85</v>
      </c>
      <c r="W27" s="63">
        <f t="shared" si="16"/>
        <v>85</v>
      </c>
      <c r="X27" s="41">
        <f>+③基本情報入力【例】!J80</f>
        <v>85</v>
      </c>
      <c r="Y27" s="1354"/>
    </row>
    <row r="28" spans="2:28">
      <c r="B28" s="416" t="s">
        <v>410</v>
      </c>
      <c r="C28" s="1325"/>
      <c r="D28" s="1350" t="s">
        <v>101</v>
      </c>
      <c r="E28" s="593" t="s">
        <v>102</v>
      </c>
      <c r="F28" s="27"/>
      <c r="G28" s="19" t="s">
        <v>50</v>
      </c>
      <c r="H28" s="596" t="s">
        <v>53</v>
      </c>
      <c r="I28" s="45">
        <f t="shared" ref="I28:W28" si="17">$X$28</f>
        <v>25</v>
      </c>
      <c r="J28" s="45">
        <f t="shared" si="17"/>
        <v>25</v>
      </c>
      <c r="K28" s="45">
        <f t="shared" si="17"/>
        <v>25</v>
      </c>
      <c r="L28" s="45">
        <f t="shared" si="17"/>
        <v>25</v>
      </c>
      <c r="M28" s="45">
        <f t="shared" si="17"/>
        <v>25</v>
      </c>
      <c r="N28" s="45">
        <f t="shared" si="17"/>
        <v>25</v>
      </c>
      <c r="O28" s="45">
        <f t="shared" si="17"/>
        <v>25</v>
      </c>
      <c r="P28" s="45">
        <f t="shared" si="17"/>
        <v>25</v>
      </c>
      <c r="Q28" s="45">
        <f t="shared" si="17"/>
        <v>25</v>
      </c>
      <c r="R28" s="45">
        <f t="shared" si="17"/>
        <v>25</v>
      </c>
      <c r="S28" s="45">
        <f t="shared" si="17"/>
        <v>25</v>
      </c>
      <c r="T28" s="45">
        <f t="shared" si="17"/>
        <v>25</v>
      </c>
      <c r="U28" s="45">
        <f t="shared" si="17"/>
        <v>25</v>
      </c>
      <c r="V28" s="45">
        <f t="shared" si="17"/>
        <v>25</v>
      </c>
      <c r="W28" s="63">
        <f t="shared" si="17"/>
        <v>25</v>
      </c>
      <c r="X28" s="41">
        <f>+③基本情報入力【例】!J81</f>
        <v>25</v>
      </c>
      <c r="Y28" s="1354"/>
    </row>
    <row r="29" spans="2:28" ht="14.25" thickBot="1">
      <c r="B29" s="194" t="s">
        <v>411</v>
      </c>
      <c r="C29" s="1335"/>
      <c r="D29" s="1327"/>
      <c r="E29" s="594" t="s">
        <v>103</v>
      </c>
      <c r="F29" s="595"/>
      <c r="G29" s="600" t="s">
        <v>50</v>
      </c>
      <c r="H29" s="601" t="s">
        <v>107</v>
      </c>
      <c r="I29" s="47">
        <f t="shared" ref="I29:W29" si="18">$X$29</f>
        <v>15</v>
      </c>
      <c r="J29" s="47">
        <f t="shared" si="18"/>
        <v>15</v>
      </c>
      <c r="K29" s="47">
        <f t="shared" si="18"/>
        <v>15</v>
      </c>
      <c r="L29" s="47">
        <f t="shared" si="18"/>
        <v>15</v>
      </c>
      <c r="M29" s="47">
        <f t="shared" si="18"/>
        <v>15</v>
      </c>
      <c r="N29" s="47">
        <f t="shared" si="18"/>
        <v>15</v>
      </c>
      <c r="O29" s="47">
        <f t="shared" si="18"/>
        <v>15</v>
      </c>
      <c r="P29" s="47">
        <f t="shared" si="18"/>
        <v>15</v>
      </c>
      <c r="Q29" s="47">
        <f t="shared" si="18"/>
        <v>15</v>
      </c>
      <c r="R29" s="47">
        <f t="shared" si="18"/>
        <v>15</v>
      </c>
      <c r="S29" s="47">
        <f t="shared" si="18"/>
        <v>15</v>
      </c>
      <c r="T29" s="47">
        <f t="shared" si="18"/>
        <v>15</v>
      </c>
      <c r="U29" s="47">
        <f t="shared" si="18"/>
        <v>15</v>
      </c>
      <c r="V29" s="47">
        <f t="shared" si="18"/>
        <v>15</v>
      </c>
      <c r="W29" s="66">
        <f t="shared" si="18"/>
        <v>15</v>
      </c>
      <c r="X29" s="48">
        <f>+③基本情報入力【例】!J82</f>
        <v>15</v>
      </c>
      <c r="Y29" s="1355"/>
    </row>
    <row r="30" spans="2:28">
      <c r="B30" s="262" t="s">
        <v>113</v>
      </c>
      <c r="C30" s="1334" t="s">
        <v>88</v>
      </c>
      <c r="D30" s="1334" t="s">
        <v>54</v>
      </c>
      <c r="E30" s="1539" t="s">
        <v>80</v>
      </c>
      <c r="F30" s="1539"/>
      <c r="G30" s="602" t="s">
        <v>375</v>
      </c>
      <c r="H30" s="603" t="s">
        <v>35</v>
      </c>
      <c r="I30" s="9">
        <f>ROUND(+I13*I17/100,2)</f>
        <v>0.11</v>
      </c>
      <c r="J30" s="9">
        <f>ROUND(+J13*J17/100,2)</f>
        <v>0.04</v>
      </c>
      <c r="K30" s="9">
        <f t="shared" ref="K30:W30" si="19">ROUND(+K13*K17/100,2)</f>
        <v>0.03</v>
      </c>
      <c r="L30" s="9">
        <f t="shared" si="19"/>
        <v>0.02</v>
      </c>
      <c r="M30" s="9">
        <f t="shared" si="19"/>
        <v>0</v>
      </c>
      <c r="N30" s="9">
        <f t="shared" si="19"/>
        <v>0.01</v>
      </c>
      <c r="O30" s="9">
        <f t="shared" si="19"/>
        <v>0</v>
      </c>
      <c r="P30" s="30">
        <f t="shared" si="19"/>
        <v>0.02</v>
      </c>
      <c r="Q30" s="9">
        <f t="shared" si="19"/>
        <v>7.0000000000000007E-2</v>
      </c>
      <c r="R30" s="9">
        <f t="shared" si="19"/>
        <v>0.04</v>
      </c>
      <c r="S30" s="9">
        <f t="shared" si="19"/>
        <v>0.71</v>
      </c>
      <c r="T30" s="9">
        <f t="shared" si="19"/>
        <v>0</v>
      </c>
      <c r="U30" s="9">
        <f t="shared" si="19"/>
        <v>0</v>
      </c>
      <c r="V30" s="9">
        <f t="shared" si="19"/>
        <v>0</v>
      </c>
      <c r="W30" s="308">
        <f t="shared" si="19"/>
        <v>0</v>
      </c>
      <c r="X30" s="30">
        <f t="shared" ref="X30:X39" si="20">+SUM(I30:V30)</f>
        <v>1.0499999999999998</v>
      </c>
      <c r="Y30" s="20"/>
    </row>
    <row r="31" spans="2:28">
      <c r="B31" s="176" t="s">
        <v>114</v>
      </c>
      <c r="C31" s="1325"/>
      <c r="D31" s="1325"/>
      <c r="E31" s="1535" t="s">
        <v>81</v>
      </c>
      <c r="F31" s="21" t="s">
        <v>64</v>
      </c>
      <c r="G31" s="19" t="s">
        <v>376</v>
      </c>
      <c r="H31" s="596" t="s">
        <v>35</v>
      </c>
      <c r="I31" s="14">
        <f>+I13-I30</f>
        <v>0.24</v>
      </c>
      <c r="J31" s="14">
        <f>+J13-J30</f>
        <v>0.09</v>
      </c>
      <c r="K31" s="14">
        <f t="shared" ref="K31:W31" si="21">+K13-K30</f>
        <v>0.06</v>
      </c>
      <c r="L31" s="14">
        <f t="shared" si="21"/>
        <v>0.05</v>
      </c>
      <c r="M31" s="14">
        <f t="shared" si="21"/>
        <v>0</v>
      </c>
      <c r="N31" s="14">
        <f t="shared" si="21"/>
        <v>0.03</v>
      </c>
      <c r="O31" s="14">
        <f t="shared" si="21"/>
        <v>0.01</v>
      </c>
      <c r="P31" s="15">
        <f t="shared" si="21"/>
        <v>0.02</v>
      </c>
      <c r="Q31" s="14">
        <f t="shared" si="21"/>
        <v>0.09</v>
      </c>
      <c r="R31" s="14">
        <f t="shared" si="21"/>
        <v>4.9999999999999996E-2</v>
      </c>
      <c r="S31" s="14">
        <f t="shared" si="21"/>
        <v>0.20000000000000007</v>
      </c>
      <c r="T31" s="14">
        <f t="shared" si="21"/>
        <v>0</v>
      </c>
      <c r="U31" s="14">
        <f t="shared" si="21"/>
        <v>0</v>
      </c>
      <c r="V31" s="14">
        <f t="shared" si="21"/>
        <v>0</v>
      </c>
      <c r="W31" s="210">
        <f t="shared" si="21"/>
        <v>0</v>
      </c>
      <c r="X31" s="15">
        <f t="shared" si="20"/>
        <v>0.84000000000000008</v>
      </c>
      <c r="Y31" s="17"/>
    </row>
    <row r="32" spans="2:28">
      <c r="B32" s="416" t="s">
        <v>115</v>
      </c>
      <c r="C32" s="1325"/>
      <c r="D32" s="1325"/>
      <c r="E32" s="1535"/>
      <c r="F32" s="21" t="s">
        <v>62</v>
      </c>
      <c r="G32" s="19" t="s">
        <v>377</v>
      </c>
      <c r="H32" s="596" t="s">
        <v>162</v>
      </c>
      <c r="I32" s="14">
        <f>+I11-I30</f>
        <v>0.32</v>
      </c>
      <c r="J32" s="14">
        <f>+J11-J30</f>
        <v>0.12</v>
      </c>
      <c r="K32" s="14">
        <f t="shared" ref="K32:W32" si="22">+K11-K30</f>
        <v>0.08</v>
      </c>
      <c r="L32" s="14">
        <f t="shared" si="22"/>
        <v>6.9999999999999993E-2</v>
      </c>
      <c r="M32" s="14">
        <f t="shared" si="22"/>
        <v>0</v>
      </c>
      <c r="N32" s="14">
        <f t="shared" si="22"/>
        <v>0.04</v>
      </c>
      <c r="O32" s="14">
        <f t="shared" si="22"/>
        <v>0.01</v>
      </c>
      <c r="P32" s="15">
        <f t="shared" si="22"/>
        <v>0.05</v>
      </c>
      <c r="Q32" s="14">
        <f t="shared" si="22"/>
        <v>0.13</v>
      </c>
      <c r="R32" s="14">
        <f t="shared" si="22"/>
        <v>7.9999999999999988E-2</v>
      </c>
      <c r="S32" s="14">
        <f t="shared" si="22"/>
        <v>0.33000000000000007</v>
      </c>
      <c r="T32" s="14">
        <f t="shared" si="22"/>
        <v>0</v>
      </c>
      <c r="U32" s="14">
        <f t="shared" si="22"/>
        <v>0</v>
      </c>
      <c r="V32" s="14">
        <f t="shared" si="22"/>
        <v>0</v>
      </c>
      <c r="W32" s="210">
        <f t="shared" si="22"/>
        <v>0</v>
      </c>
      <c r="X32" s="15">
        <f t="shared" si="20"/>
        <v>1.23</v>
      </c>
      <c r="Y32" s="17"/>
    </row>
    <row r="33" spans="2:25" s="279" customFormat="1" ht="13.5" customHeight="1">
      <c r="B33" s="273" t="s">
        <v>116</v>
      </c>
      <c r="C33" s="1325"/>
      <c r="D33" s="1325"/>
      <c r="E33" s="1535" t="s">
        <v>72</v>
      </c>
      <c r="F33" s="21" t="s">
        <v>82</v>
      </c>
      <c r="G33" s="19" t="s">
        <v>378</v>
      </c>
      <c r="H33" s="596" t="s">
        <v>163</v>
      </c>
      <c r="I33" s="275">
        <f>ROUND(+I30*I18*1000,2)</f>
        <v>66</v>
      </c>
      <c r="J33" s="275">
        <f>ROUND(+J30*J18*1000,2)</f>
        <v>24</v>
      </c>
      <c r="K33" s="275">
        <f t="shared" ref="K33:W33" si="23">ROUND(+K30*K18*1000,2)</f>
        <v>18</v>
      </c>
      <c r="L33" s="275">
        <f t="shared" si="23"/>
        <v>12</v>
      </c>
      <c r="M33" s="275">
        <f t="shared" si="23"/>
        <v>0</v>
      </c>
      <c r="N33" s="275">
        <f t="shared" si="23"/>
        <v>6</v>
      </c>
      <c r="O33" s="275">
        <f t="shared" si="23"/>
        <v>0</v>
      </c>
      <c r="P33" s="281">
        <f t="shared" si="23"/>
        <v>16</v>
      </c>
      <c r="Q33" s="275">
        <f t="shared" si="23"/>
        <v>56</v>
      </c>
      <c r="R33" s="275">
        <f t="shared" si="23"/>
        <v>32</v>
      </c>
      <c r="S33" s="275">
        <f>ROUND(+S30*S18*1000,2)</f>
        <v>639</v>
      </c>
      <c r="T33" s="275">
        <f t="shared" si="23"/>
        <v>0</v>
      </c>
      <c r="U33" s="275">
        <f t="shared" si="23"/>
        <v>0</v>
      </c>
      <c r="V33" s="275">
        <f t="shared" si="23"/>
        <v>0</v>
      </c>
      <c r="W33" s="306">
        <f t="shared" si="23"/>
        <v>0</v>
      </c>
      <c r="X33" s="35">
        <f>+SUM(I33:V33)</f>
        <v>869</v>
      </c>
      <c r="Y33" s="276"/>
    </row>
    <row r="34" spans="2:25">
      <c r="B34" s="416" t="s">
        <v>117</v>
      </c>
      <c r="C34" s="1325"/>
      <c r="D34" s="1325"/>
      <c r="E34" s="1535"/>
      <c r="F34" s="21" t="s">
        <v>83</v>
      </c>
      <c r="G34" s="19" t="s">
        <v>379</v>
      </c>
      <c r="H34" s="596" t="s">
        <v>90</v>
      </c>
      <c r="I34" s="14">
        <f>ROUND(+I21*I33/1000,2)</f>
        <v>1415.26</v>
      </c>
      <c r="J34" s="14">
        <f>ROUND(+J21*J33/1000,2)</f>
        <v>514.64</v>
      </c>
      <c r="K34" s="14">
        <f t="shared" ref="K34:W34" si="24">ROUND(+K21*K33/1000,2)</f>
        <v>385.98</v>
      </c>
      <c r="L34" s="14">
        <f t="shared" si="24"/>
        <v>257.32</v>
      </c>
      <c r="M34" s="14">
        <f t="shared" si="24"/>
        <v>0</v>
      </c>
      <c r="N34" s="14">
        <f t="shared" si="24"/>
        <v>128.66</v>
      </c>
      <c r="O34" s="14">
        <f t="shared" si="24"/>
        <v>0</v>
      </c>
      <c r="P34" s="15">
        <f t="shared" si="24"/>
        <v>343.09</v>
      </c>
      <c r="Q34" s="14">
        <f t="shared" si="24"/>
        <v>1200.83</v>
      </c>
      <c r="R34" s="14">
        <f t="shared" si="24"/>
        <v>686.19</v>
      </c>
      <c r="S34" s="14">
        <f t="shared" si="24"/>
        <v>13702.33</v>
      </c>
      <c r="T34" s="14">
        <f t="shared" si="24"/>
        <v>0</v>
      </c>
      <c r="U34" s="14">
        <f t="shared" si="24"/>
        <v>0</v>
      </c>
      <c r="V34" s="14">
        <f t="shared" si="24"/>
        <v>0</v>
      </c>
      <c r="W34" s="210">
        <f t="shared" si="24"/>
        <v>0</v>
      </c>
      <c r="X34" s="35">
        <f t="shared" si="20"/>
        <v>18634.300000000003</v>
      </c>
      <c r="Y34" s="17"/>
    </row>
    <row r="35" spans="2:25">
      <c r="B35" s="416" t="s">
        <v>319</v>
      </c>
      <c r="C35" s="1325"/>
      <c r="D35" s="1351"/>
      <c r="E35" s="21" t="s">
        <v>106</v>
      </c>
      <c r="F35" s="21" t="s">
        <v>108</v>
      </c>
      <c r="G35" s="19" t="s">
        <v>380</v>
      </c>
      <c r="H35" s="596" t="s">
        <v>90</v>
      </c>
      <c r="I35" s="14">
        <f>+ROUND(I10*(I22-I23)*4.186,2)</f>
        <v>261.63</v>
      </c>
      <c r="J35" s="14">
        <f>+ROUND(J10*(J22-J23)*4.186,2)</f>
        <v>104.65</v>
      </c>
      <c r="K35" s="14">
        <f t="shared" ref="K35:W35" si="25">+ROUND(K10*(K22-K23)*4.186,2)</f>
        <v>73.260000000000005</v>
      </c>
      <c r="L35" s="14">
        <f t="shared" si="25"/>
        <v>52.33</v>
      </c>
      <c r="M35" s="14">
        <f t="shared" si="25"/>
        <v>10.47</v>
      </c>
      <c r="N35" s="14">
        <f t="shared" si="25"/>
        <v>31.4</v>
      </c>
      <c r="O35" s="14">
        <f t="shared" si="25"/>
        <v>52.33</v>
      </c>
      <c r="P35" s="14">
        <f t="shared" si="25"/>
        <v>313.95</v>
      </c>
      <c r="Q35" s="14">
        <f t="shared" si="25"/>
        <v>1569.75</v>
      </c>
      <c r="R35" s="14">
        <f t="shared" si="25"/>
        <v>523.25</v>
      </c>
      <c r="S35" s="14">
        <f t="shared" si="25"/>
        <v>418.6</v>
      </c>
      <c r="T35" s="14">
        <f t="shared" si="25"/>
        <v>0</v>
      </c>
      <c r="U35" s="14">
        <f t="shared" si="25"/>
        <v>0</v>
      </c>
      <c r="V35" s="14">
        <f t="shared" si="25"/>
        <v>0</v>
      </c>
      <c r="W35" s="210">
        <f t="shared" si="25"/>
        <v>0</v>
      </c>
      <c r="X35" s="35">
        <f t="shared" si="20"/>
        <v>3411.62</v>
      </c>
      <c r="Y35" s="17" t="s">
        <v>119</v>
      </c>
    </row>
    <row r="36" spans="2:25">
      <c r="B36" s="416" t="s">
        <v>320</v>
      </c>
      <c r="C36" s="1325"/>
      <c r="D36" s="1347" t="s">
        <v>354</v>
      </c>
      <c r="E36" s="1541" t="s">
        <v>355</v>
      </c>
      <c r="F36" s="1541"/>
      <c r="G36" s="19" t="s">
        <v>356</v>
      </c>
      <c r="H36" s="604" t="s">
        <v>357</v>
      </c>
      <c r="I36" s="187">
        <f>ROUND(+I34*I24/100/3.6,2)</f>
        <v>137.59</v>
      </c>
      <c r="J36" s="187">
        <f t="shared" ref="J36:W36" si="26">ROUND(+J34*J24/100/3.6,2)</f>
        <v>50.03</v>
      </c>
      <c r="K36" s="187">
        <f t="shared" si="26"/>
        <v>37.53</v>
      </c>
      <c r="L36" s="187">
        <f t="shared" si="26"/>
        <v>25.02</v>
      </c>
      <c r="M36" s="187">
        <f t="shared" si="26"/>
        <v>0</v>
      </c>
      <c r="N36" s="187">
        <f t="shared" si="26"/>
        <v>12.51</v>
      </c>
      <c r="O36" s="187">
        <f t="shared" si="26"/>
        <v>0</v>
      </c>
      <c r="P36" s="187">
        <f t="shared" si="26"/>
        <v>33.36</v>
      </c>
      <c r="Q36" s="187">
        <f t="shared" si="26"/>
        <v>116.75</v>
      </c>
      <c r="R36" s="187">
        <f t="shared" si="26"/>
        <v>66.709999999999994</v>
      </c>
      <c r="S36" s="187">
        <f>ROUND(+S34*S24/100/3.6,2)</f>
        <v>1332.17</v>
      </c>
      <c r="T36" s="187">
        <f t="shared" si="26"/>
        <v>0</v>
      </c>
      <c r="U36" s="187">
        <f t="shared" si="26"/>
        <v>0</v>
      </c>
      <c r="V36" s="187">
        <f t="shared" si="26"/>
        <v>0</v>
      </c>
      <c r="W36" s="309">
        <f t="shared" si="26"/>
        <v>0</v>
      </c>
      <c r="X36" s="592">
        <f>SUM(I36:W36)</f>
        <v>1811.67</v>
      </c>
      <c r="Y36" s="196" t="s">
        <v>412</v>
      </c>
    </row>
    <row r="37" spans="2:25">
      <c r="B37" s="416" t="s">
        <v>321</v>
      </c>
      <c r="C37" s="1325"/>
      <c r="D37" s="1348"/>
      <c r="E37" s="1535" t="s">
        <v>358</v>
      </c>
      <c r="F37" s="1535"/>
      <c r="G37" s="19" t="s">
        <v>359</v>
      </c>
      <c r="H37" s="596" t="s">
        <v>357</v>
      </c>
      <c r="I37" s="187">
        <f>ROUND(+I36*I25,2)</f>
        <v>127.96</v>
      </c>
      <c r="J37" s="187">
        <f t="shared" ref="J37:W37" si="27">ROUND(+J36*J25,2)</f>
        <v>46.53</v>
      </c>
      <c r="K37" s="187">
        <f t="shared" si="27"/>
        <v>34.9</v>
      </c>
      <c r="L37" s="187">
        <f t="shared" si="27"/>
        <v>23.27</v>
      </c>
      <c r="M37" s="187">
        <f t="shared" si="27"/>
        <v>0</v>
      </c>
      <c r="N37" s="187">
        <f t="shared" si="27"/>
        <v>11.63</v>
      </c>
      <c r="O37" s="187">
        <f t="shared" si="27"/>
        <v>0</v>
      </c>
      <c r="P37" s="187">
        <f t="shared" si="27"/>
        <v>31.02</v>
      </c>
      <c r="Q37" s="187">
        <f t="shared" si="27"/>
        <v>108.58</v>
      </c>
      <c r="R37" s="187">
        <f t="shared" si="27"/>
        <v>62.04</v>
      </c>
      <c r="S37" s="187">
        <f t="shared" si="27"/>
        <v>1238.92</v>
      </c>
      <c r="T37" s="187">
        <f t="shared" si="27"/>
        <v>0</v>
      </c>
      <c r="U37" s="187">
        <f t="shared" si="27"/>
        <v>0</v>
      </c>
      <c r="V37" s="187">
        <f t="shared" si="27"/>
        <v>0</v>
      </c>
      <c r="W37" s="309">
        <f t="shared" si="27"/>
        <v>0</v>
      </c>
      <c r="X37" s="35">
        <f>SUM(I37:W37)</f>
        <v>1684.8500000000001</v>
      </c>
      <c r="Y37" s="1342" t="str">
        <f>IF(X38&gt;=X35,"廃熱回収量が加温に必要な熱量を確保できるため,発電可能。","廃熱回収量が加温に必要な熱量を確保できないため,発電不可。")</f>
        <v>廃熱回収量が加温に必要な熱量を確保できるため,発電可能。</v>
      </c>
    </row>
    <row r="38" spans="2:25">
      <c r="B38" s="416" t="s">
        <v>322</v>
      </c>
      <c r="C38" s="1325"/>
      <c r="D38" s="1349"/>
      <c r="E38" s="1537" t="s">
        <v>360</v>
      </c>
      <c r="F38" s="1538"/>
      <c r="G38" s="19" t="s">
        <v>361</v>
      </c>
      <c r="H38" s="596" t="s">
        <v>90</v>
      </c>
      <c r="I38" s="187">
        <f>+ROUND(I34*I26/100,2)</f>
        <v>707.63</v>
      </c>
      <c r="J38" s="187">
        <f t="shared" ref="J38:W38" si="28">+ROUND(J34*J26/100,2)</f>
        <v>257.32</v>
      </c>
      <c r="K38" s="187">
        <f t="shared" si="28"/>
        <v>192.99</v>
      </c>
      <c r="L38" s="187">
        <f t="shared" si="28"/>
        <v>128.66</v>
      </c>
      <c r="M38" s="187">
        <f t="shared" si="28"/>
        <v>0</v>
      </c>
      <c r="N38" s="187">
        <f t="shared" si="28"/>
        <v>64.33</v>
      </c>
      <c r="O38" s="187">
        <f t="shared" si="28"/>
        <v>0</v>
      </c>
      <c r="P38" s="187">
        <f t="shared" si="28"/>
        <v>171.55</v>
      </c>
      <c r="Q38" s="187">
        <f t="shared" si="28"/>
        <v>600.41999999999996</v>
      </c>
      <c r="R38" s="187">
        <f t="shared" si="28"/>
        <v>343.1</v>
      </c>
      <c r="S38" s="187">
        <f t="shared" si="28"/>
        <v>6851.17</v>
      </c>
      <c r="T38" s="187">
        <f t="shared" si="28"/>
        <v>0</v>
      </c>
      <c r="U38" s="187">
        <f t="shared" si="28"/>
        <v>0</v>
      </c>
      <c r="V38" s="187">
        <f t="shared" si="28"/>
        <v>0</v>
      </c>
      <c r="W38" s="309">
        <f t="shared" si="28"/>
        <v>0</v>
      </c>
      <c r="X38" s="35">
        <f>SUM(I38:W39)</f>
        <v>9349.77</v>
      </c>
      <c r="Y38" s="1343"/>
    </row>
    <row r="39" spans="2:25">
      <c r="B39" s="416" t="s">
        <v>323</v>
      </c>
      <c r="C39" s="1325"/>
      <c r="D39" s="1308" t="s">
        <v>30</v>
      </c>
      <c r="E39" s="1535" t="s">
        <v>29</v>
      </c>
      <c r="F39" s="1535"/>
      <c r="G39" s="19" t="str">
        <f>"=c"</f>
        <v>=c</v>
      </c>
      <c r="H39" s="596" t="s">
        <v>0</v>
      </c>
      <c r="I39" s="14">
        <f>+I10</f>
        <v>2.5</v>
      </c>
      <c r="J39" s="14">
        <f>+J10</f>
        <v>1</v>
      </c>
      <c r="K39" s="14">
        <f t="shared" ref="K39:U39" si="29">+K10</f>
        <v>0.7</v>
      </c>
      <c r="L39" s="14">
        <f t="shared" si="29"/>
        <v>0.5</v>
      </c>
      <c r="M39" s="14">
        <f t="shared" si="29"/>
        <v>0.1</v>
      </c>
      <c r="N39" s="14">
        <f t="shared" si="29"/>
        <v>0.3</v>
      </c>
      <c r="O39" s="14">
        <f t="shared" si="29"/>
        <v>0.5</v>
      </c>
      <c r="P39" s="14">
        <f t="shared" si="29"/>
        <v>3</v>
      </c>
      <c r="Q39" s="14">
        <f t="shared" si="29"/>
        <v>15</v>
      </c>
      <c r="R39" s="14">
        <f t="shared" si="29"/>
        <v>5</v>
      </c>
      <c r="S39" s="14">
        <f t="shared" si="29"/>
        <v>4</v>
      </c>
      <c r="T39" s="14">
        <f>+T10</f>
        <v>0</v>
      </c>
      <c r="U39" s="14">
        <f t="shared" si="29"/>
        <v>0</v>
      </c>
      <c r="V39" s="14">
        <f>+V10</f>
        <v>0</v>
      </c>
      <c r="W39" s="210">
        <f>+W10</f>
        <v>0</v>
      </c>
      <c r="X39" s="35">
        <f t="shared" si="20"/>
        <v>32.6</v>
      </c>
      <c r="Y39" s="259"/>
    </row>
    <row r="40" spans="2:25">
      <c r="B40" s="416" t="s">
        <v>324</v>
      </c>
      <c r="C40" s="1325"/>
      <c r="D40" s="1308"/>
      <c r="E40" s="1535" t="s">
        <v>84</v>
      </c>
      <c r="F40" s="1535"/>
      <c r="G40" s="19" t="s">
        <v>381</v>
      </c>
      <c r="H40" s="596" t="s">
        <v>53</v>
      </c>
      <c r="I40" s="14">
        <f>IF(I39=0,0,ROUND(+I32/I39*100,2))</f>
        <v>12.8</v>
      </c>
      <c r="J40" s="14">
        <f>IF(J39=0,0,ROUND(+J32/J39*100,2))</f>
        <v>12</v>
      </c>
      <c r="K40" s="14">
        <f t="shared" ref="K40:W40" si="30">IF(K39=0,0,ROUND(+K32/K39*100,2))</f>
        <v>11.43</v>
      </c>
      <c r="L40" s="14">
        <f t="shared" si="30"/>
        <v>14</v>
      </c>
      <c r="M40" s="14">
        <f t="shared" si="30"/>
        <v>0</v>
      </c>
      <c r="N40" s="14">
        <f t="shared" si="30"/>
        <v>13.33</v>
      </c>
      <c r="O40" s="14">
        <f t="shared" si="30"/>
        <v>2</v>
      </c>
      <c r="P40" s="14">
        <f t="shared" si="30"/>
        <v>1.67</v>
      </c>
      <c r="Q40" s="14">
        <f>IF(Q39=0,0,ROUND(+Q32/Q39*100,2))</f>
        <v>0.87</v>
      </c>
      <c r="R40" s="14">
        <f t="shared" si="30"/>
        <v>1.6</v>
      </c>
      <c r="S40" s="14">
        <f t="shared" si="30"/>
        <v>8.25</v>
      </c>
      <c r="T40" s="14">
        <f t="shared" si="30"/>
        <v>0</v>
      </c>
      <c r="U40" s="14">
        <f>IF(U39=0,0,ROUND(+U32/U39*100,2))</f>
        <v>0</v>
      </c>
      <c r="V40" s="14">
        <f t="shared" si="30"/>
        <v>0</v>
      </c>
      <c r="W40" s="210">
        <f t="shared" si="30"/>
        <v>0</v>
      </c>
      <c r="X40" s="592">
        <f>IF(X39=0,0,ROUND(+X32/X39*100,2))</f>
        <v>3.77</v>
      </c>
      <c r="Y40" s="259"/>
    </row>
    <row r="41" spans="2:25" s="279" customFormat="1">
      <c r="B41" s="273" t="s">
        <v>325</v>
      </c>
      <c r="C41" s="1325"/>
      <c r="D41" s="1308"/>
      <c r="E41" s="1535" t="s">
        <v>85</v>
      </c>
      <c r="F41" s="1535"/>
      <c r="G41" s="19" t="s">
        <v>382</v>
      </c>
      <c r="H41" s="596" t="s">
        <v>0</v>
      </c>
      <c r="I41" s="275">
        <f>ROUND(+I32/(1-I27/100),2)</f>
        <v>2.13</v>
      </c>
      <c r="J41" s="275">
        <f>ROUND(+J32/(1-J27/100),2)</f>
        <v>0.8</v>
      </c>
      <c r="K41" s="275">
        <f t="shared" ref="K41:W41" si="31">ROUND(+K32/(1-K27/100),2)</f>
        <v>0.53</v>
      </c>
      <c r="L41" s="275">
        <f t="shared" si="31"/>
        <v>0.47</v>
      </c>
      <c r="M41" s="275">
        <f t="shared" si="31"/>
        <v>0</v>
      </c>
      <c r="N41" s="275">
        <f t="shared" si="31"/>
        <v>0.27</v>
      </c>
      <c r="O41" s="275">
        <f t="shared" si="31"/>
        <v>7.0000000000000007E-2</v>
      </c>
      <c r="P41" s="281">
        <f t="shared" si="31"/>
        <v>0.33</v>
      </c>
      <c r="Q41" s="275">
        <f t="shared" si="31"/>
        <v>0.87</v>
      </c>
      <c r="R41" s="275">
        <f t="shared" si="31"/>
        <v>0.53</v>
      </c>
      <c r="S41" s="275">
        <f t="shared" si="31"/>
        <v>2.2000000000000002</v>
      </c>
      <c r="T41" s="275">
        <f t="shared" si="31"/>
        <v>0</v>
      </c>
      <c r="U41" s="275">
        <f>ROUND(+U32/(1-U27/100),2)</f>
        <v>0</v>
      </c>
      <c r="V41" s="275">
        <f t="shared" si="31"/>
        <v>0</v>
      </c>
      <c r="W41" s="306">
        <f t="shared" si="31"/>
        <v>0</v>
      </c>
      <c r="X41" s="35">
        <f t="shared" ref="X41:X47" si="32">+SUM(I41:V41)</f>
        <v>8.1999999999999993</v>
      </c>
      <c r="Y41" s="282"/>
    </row>
    <row r="42" spans="2:25">
      <c r="B42" s="416" t="s">
        <v>326</v>
      </c>
      <c r="C42" s="1325"/>
      <c r="D42" s="1308"/>
      <c r="E42" s="1535" t="s">
        <v>86</v>
      </c>
      <c r="F42" s="1535"/>
      <c r="G42" s="19" t="str">
        <f>"=③"</f>
        <v>=③</v>
      </c>
      <c r="H42" s="596" t="s">
        <v>38</v>
      </c>
      <c r="I42" s="14">
        <f>+I32</f>
        <v>0.32</v>
      </c>
      <c r="J42" s="14">
        <f>+J32</f>
        <v>0.12</v>
      </c>
      <c r="K42" s="14">
        <f t="shared" ref="K42:W42" si="33">+K32</f>
        <v>0.08</v>
      </c>
      <c r="L42" s="14">
        <f t="shared" si="33"/>
        <v>6.9999999999999993E-2</v>
      </c>
      <c r="M42" s="14">
        <f t="shared" si="33"/>
        <v>0</v>
      </c>
      <c r="N42" s="14">
        <f t="shared" si="33"/>
        <v>0.04</v>
      </c>
      <c r="O42" s="14">
        <f t="shared" si="33"/>
        <v>0.01</v>
      </c>
      <c r="P42" s="15">
        <f t="shared" si="33"/>
        <v>0.05</v>
      </c>
      <c r="Q42" s="14">
        <f t="shared" si="33"/>
        <v>0.13</v>
      </c>
      <c r="R42" s="14">
        <f t="shared" si="33"/>
        <v>7.9999999999999988E-2</v>
      </c>
      <c r="S42" s="14">
        <f t="shared" si="33"/>
        <v>0.33000000000000007</v>
      </c>
      <c r="T42" s="14">
        <f t="shared" si="33"/>
        <v>0</v>
      </c>
      <c r="U42" s="14">
        <f t="shared" si="33"/>
        <v>0</v>
      </c>
      <c r="V42" s="14">
        <f t="shared" si="33"/>
        <v>0</v>
      </c>
      <c r="W42" s="210">
        <f t="shared" si="33"/>
        <v>0</v>
      </c>
      <c r="X42" s="35">
        <f t="shared" si="32"/>
        <v>1.23</v>
      </c>
      <c r="Y42" s="259"/>
    </row>
    <row r="43" spans="2:25" ht="15.75">
      <c r="B43" s="416" t="s">
        <v>327</v>
      </c>
      <c r="C43" s="1325"/>
      <c r="D43" s="1308"/>
      <c r="E43" s="1535" t="s">
        <v>87</v>
      </c>
      <c r="F43" s="1535"/>
      <c r="G43" s="605" t="s">
        <v>383</v>
      </c>
      <c r="H43" s="606" t="s">
        <v>164</v>
      </c>
      <c r="I43" s="51">
        <f>+I10-I41</f>
        <v>0.37000000000000011</v>
      </c>
      <c r="J43" s="51">
        <f>+J10-J41</f>
        <v>0.19999999999999996</v>
      </c>
      <c r="K43" s="51">
        <f t="shared" ref="K43:W43" si="34">+K10-K41</f>
        <v>0.16999999999999993</v>
      </c>
      <c r="L43" s="51">
        <f t="shared" si="34"/>
        <v>3.0000000000000027E-2</v>
      </c>
      <c r="M43" s="51">
        <f t="shared" si="34"/>
        <v>0.1</v>
      </c>
      <c r="N43" s="51">
        <f t="shared" si="34"/>
        <v>2.9999999999999971E-2</v>
      </c>
      <c r="O43" s="51">
        <f t="shared" si="34"/>
        <v>0.43</v>
      </c>
      <c r="P43" s="15">
        <f t="shared" si="34"/>
        <v>2.67</v>
      </c>
      <c r="Q43" s="31">
        <f t="shared" si="34"/>
        <v>14.13</v>
      </c>
      <c r="R43" s="31">
        <f t="shared" si="34"/>
        <v>4.47</v>
      </c>
      <c r="S43" s="31">
        <f t="shared" si="34"/>
        <v>1.7999999999999998</v>
      </c>
      <c r="T43" s="14">
        <f t="shared" si="34"/>
        <v>0</v>
      </c>
      <c r="U43" s="14">
        <f t="shared" si="34"/>
        <v>0</v>
      </c>
      <c r="V43" s="14">
        <f t="shared" si="34"/>
        <v>0</v>
      </c>
      <c r="W43" s="210">
        <f t="shared" si="34"/>
        <v>0</v>
      </c>
      <c r="X43" s="35">
        <f t="shared" si="32"/>
        <v>24.400000000000002</v>
      </c>
      <c r="Y43" s="259"/>
    </row>
    <row r="44" spans="2:25">
      <c r="B44" s="176" t="s">
        <v>337</v>
      </c>
      <c r="C44" s="1325"/>
      <c r="D44" s="1308" t="s">
        <v>101</v>
      </c>
      <c r="E44" s="1540" t="s">
        <v>109</v>
      </c>
      <c r="F44" s="1540"/>
      <c r="G44" s="19" t="s">
        <v>384</v>
      </c>
      <c r="H44" s="604" t="s">
        <v>0</v>
      </c>
      <c r="I44" s="11">
        <f>+ROUND(I42/(1-I28/100),2)</f>
        <v>0.43</v>
      </c>
      <c r="J44" s="11">
        <f>+ROUND(J42/(1-J28/100),2)</f>
        <v>0.16</v>
      </c>
      <c r="K44" s="11">
        <f t="shared" ref="K44:W44" si="35">+ROUND(K42/(1-K28/100),2)</f>
        <v>0.11</v>
      </c>
      <c r="L44" s="11">
        <f>+ROUND(L42/(1-L28/100),2)</f>
        <v>0.09</v>
      </c>
      <c r="M44" s="11">
        <f t="shared" si="35"/>
        <v>0</v>
      </c>
      <c r="N44" s="11">
        <f t="shared" si="35"/>
        <v>0.05</v>
      </c>
      <c r="O44" s="11">
        <f t="shared" si="35"/>
        <v>0.01</v>
      </c>
      <c r="P44" s="10">
        <f t="shared" si="35"/>
        <v>7.0000000000000007E-2</v>
      </c>
      <c r="Q44" s="11">
        <f t="shared" si="35"/>
        <v>0.17</v>
      </c>
      <c r="R44" s="11">
        <f t="shared" si="35"/>
        <v>0.11</v>
      </c>
      <c r="S44" s="11">
        <f t="shared" si="35"/>
        <v>0.44</v>
      </c>
      <c r="T44" s="11">
        <f t="shared" si="35"/>
        <v>0</v>
      </c>
      <c r="U44" s="11">
        <f t="shared" si="35"/>
        <v>0</v>
      </c>
      <c r="V44" s="11">
        <f t="shared" si="35"/>
        <v>0</v>
      </c>
      <c r="W44" s="211">
        <f t="shared" si="35"/>
        <v>0</v>
      </c>
      <c r="X44" s="10">
        <f t="shared" si="32"/>
        <v>1.64</v>
      </c>
      <c r="Y44" s="260"/>
    </row>
    <row r="45" spans="2:25">
      <c r="B45" s="416" t="s">
        <v>362</v>
      </c>
      <c r="C45" s="1325"/>
      <c r="D45" s="1308"/>
      <c r="E45" s="1336" t="s">
        <v>110</v>
      </c>
      <c r="F45" s="1336"/>
      <c r="G45" s="170" t="str">
        <f>"=⑬"</f>
        <v>=⑬</v>
      </c>
      <c r="H45" s="392" t="s">
        <v>38</v>
      </c>
      <c r="I45" s="14">
        <f>+I42</f>
        <v>0.32</v>
      </c>
      <c r="J45" s="14">
        <f>+J42</f>
        <v>0.12</v>
      </c>
      <c r="K45" s="14">
        <f t="shared" ref="K45:W45" si="36">+K42</f>
        <v>0.08</v>
      </c>
      <c r="L45" s="14">
        <f t="shared" si="36"/>
        <v>6.9999999999999993E-2</v>
      </c>
      <c r="M45" s="14">
        <f t="shared" si="36"/>
        <v>0</v>
      </c>
      <c r="N45" s="14">
        <f t="shared" si="36"/>
        <v>0.04</v>
      </c>
      <c r="O45" s="14">
        <f t="shared" si="36"/>
        <v>0.01</v>
      </c>
      <c r="P45" s="15">
        <f t="shared" si="36"/>
        <v>0.05</v>
      </c>
      <c r="Q45" s="14">
        <f t="shared" si="36"/>
        <v>0.13</v>
      </c>
      <c r="R45" s="14">
        <f t="shared" si="36"/>
        <v>7.9999999999999988E-2</v>
      </c>
      <c r="S45" s="16">
        <f t="shared" si="36"/>
        <v>0.33000000000000007</v>
      </c>
      <c r="T45" s="16">
        <f t="shared" si="36"/>
        <v>0</v>
      </c>
      <c r="U45" s="16">
        <f t="shared" si="36"/>
        <v>0</v>
      </c>
      <c r="V45" s="16">
        <f t="shared" si="36"/>
        <v>0</v>
      </c>
      <c r="W45" s="210">
        <f t="shared" si="36"/>
        <v>0</v>
      </c>
      <c r="X45" s="15">
        <f t="shared" si="32"/>
        <v>1.23</v>
      </c>
      <c r="Y45" s="259"/>
    </row>
    <row r="46" spans="2:25">
      <c r="B46" s="416" t="s">
        <v>363</v>
      </c>
      <c r="C46" s="1325"/>
      <c r="D46" s="1308"/>
      <c r="E46" s="1336" t="s">
        <v>111</v>
      </c>
      <c r="F46" s="1336"/>
      <c r="G46" s="170" t="s">
        <v>385</v>
      </c>
      <c r="H46" s="392" t="s">
        <v>0</v>
      </c>
      <c r="I46" s="14">
        <f>+I41-I44</f>
        <v>1.7</v>
      </c>
      <c r="J46" s="14">
        <f>+J41-J44</f>
        <v>0.64</v>
      </c>
      <c r="K46" s="14">
        <f t="shared" ref="K46:O46" si="37">+K41-K44</f>
        <v>0.42000000000000004</v>
      </c>
      <c r="L46" s="14">
        <f t="shared" si="37"/>
        <v>0.38</v>
      </c>
      <c r="M46" s="14">
        <f t="shared" si="37"/>
        <v>0</v>
      </c>
      <c r="N46" s="14">
        <f t="shared" si="37"/>
        <v>0.22000000000000003</v>
      </c>
      <c r="O46" s="14">
        <f t="shared" si="37"/>
        <v>6.0000000000000005E-2</v>
      </c>
      <c r="P46" s="15">
        <f>+P41-P44</f>
        <v>0.26</v>
      </c>
      <c r="Q46" s="14">
        <f t="shared" ref="Q46:R46" si="38">+Q41-Q44</f>
        <v>0.7</v>
      </c>
      <c r="R46" s="14">
        <f t="shared" si="38"/>
        <v>0.42000000000000004</v>
      </c>
      <c r="S46" s="16">
        <f>+S41-S44</f>
        <v>1.7600000000000002</v>
      </c>
      <c r="T46" s="16">
        <f t="shared" ref="T46:W46" si="39">+T41-T44</f>
        <v>0</v>
      </c>
      <c r="U46" s="16">
        <f t="shared" si="39"/>
        <v>0</v>
      </c>
      <c r="V46" s="16">
        <f t="shared" si="39"/>
        <v>0</v>
      </c>
      <c r="W46" s="210">
        <f t="shared" si="39"/>
        <v>0</v>
      </c>
      <c r="X46" s="15">
        <f t="shared" si="32"/>
        <v>6.5600000000000005</v>
      </c>
      <c r="Y46" s="259"/>
    </row>
    <row r="47" spans="2:25" ht="40.5">
      <c r="B47" s="385" t="s">
        <v>364</v>
      </c>
      <c r="C47" s="1325"/>
      <c r="D47" s="1308"/>
      <c r="E47" s="1336" t="s">
        <v>108</v>
      </c>
      <c r="F47" s="1336"/>
      <c r="G47" s="524" t="s">
        <v>386</v>
      </c>
      <c r="H47" s="392" t="s">
        <v>90</v>
      </c>
      <c r="I47" s="14">
        <f>+ROUND((100-I29)*(I41-I45)*4.186+I46*2258+(100-I29)*I45*0.3*4.184,2)</f>
        <v>4516.76</v>
      </c>
      <c r="J47" s="14">
        <f>+ROUND((100-J29)*(J41-J45)*4.186+J46*2258+(100-J29)*J45*0.3*4.184,2)</f>
        <v>1699.87</v>
      </c>
      <c r="K47" s="14">
        <f t="shared" ref="K47:O47" si="40">+ROUND((100-K29)*(K41-K45)*4.186+K46*2258+(100-K29)*K45*0.3*4.184,2)</f>
        <v>1117.01</v>
      </c>
      <c r="L47" s="14">
        <f t="shared" si="40"/>
        <v>1007.83</v>
      </c>
      <c r="M47" s="14">
        <f t="shared" si="40"/>
        <v>0</v>
      </c>
      <c r="N47" s="14">
        <f t="shared" si="40"/>
        <v>582.86</v>
      </c>
      <c r="O47" s="14">
        <f t="shared" si="40"/>
        <v>157.9</v>
      </c>
      <c r="P47" s="15">
        <f>+ROUND((100-P29)*(P41-P45)*4.186+P46*2258+(100-P29)*P45*0.3*4.184,2)</f>
        <v>692.04</v>
      </c>
      <c r="Q47" s="14">
        <f t="shared" ref="Q47:W47" si="41">+ROUND((100-Q29)*(Q41-Q45)*4.186+Q46*2258+(100-Q29)*Q45*0.3*4.184,2)</f>
        <v>1857.77</v>
      </c>
      <c r="R47" s="14">
        <f t="shared" si="41"/>
        <v>1117.01</v>
      </c>
      <c r="S47" s="16">
        <f t="shared" si="41"/>
        <v>4674.6499999999996</v>
      </c>
      <c r="T47" s="16">
        <f t="shared" si="41"/>
        <v>0</v>
      </c>
      <c r="U47" s="16">
        <f t="shared" si="41"/>
        <v>0</v>
      </c>
      <c r="V47" s="16">
        <f t="shared" si="41"/>
        <v>0</v>
      </c>
      <c r="W47" s="210">
        <f t="shared" si="41"/>
        <v>0</v>
      </c>
      <c r="X47" s="15">
        <f t="shared" si="32"/>
        <v>17423.7</v>
      </c>
      <c r="Y47" s="261" t="s">
        <v>112</v>
      </c>
    </row>
    <row r="48" spans="2:25">
      <c r="B48" s="387" t="s">
        <v>365</v>
      </c>
      <c r="C48" s="1325"/>
      <c r="D48" s="1347" t="s">
        <v>127</v>
      </c>
      <c r="E48" s="1337" t="s">
        <v>128</v>
      </c>
      <c r="F48" s="177" t="s">
        <v>369</v>
      </c>
      <c r="G48" s="178" t="s">
        <v>387</v>
      </c>
      <c r="H48" s="1347" t="s">
        <v>129</v>
      </c>
      <c r="I48" s="207">
        <f t="shared" ref="I48:W48" si="42">IFERROR(IF(I34&gt;I35,0,+ROUND((I35-I34)/J48,0)),0)</f>
        <v>0</v>
      </c>
      <c r="J48" s="207">
        <f t="shared" si="42"/>
        <v>0</v>
      </c>
      <c r="K48" s="207">
        <f t="shared" si="42"/>
        <v>0</v>
      </c>
      <c r="L48" s="207">
        <f t="shared" si="42"/>
        <v>0</v>
      </c>
      <c r="M48" s="207">
        <f t="shared" si="42"/>
        <v>0</v>
      </c>
      <c r="N48" s="207">
        <f t="shared" si="42"/>
        <v>0</v>
      </c>
      <c r="O48" s="207">
        <f t="shared" si="42"/>
        <v>0</v>
      </c>
      <c r="P48" s="207">
        <f t="shared" si="42"/>
        <v>0</v>
      </c>
      <c r="Q48" s="207">
        <f t="shared" si="42"/>
        <v>0</v>
      </c>
      <c r="R48" s="207">
        <f t="shared" si="42"/>
        <v>0</v>
      </c>
      <c r="S48" s="207">
        <f t="shared" si="42"/>
        <v>0</v>
      </c>
      <c r="T48" s="207">
        <f t="shared" si="42"/>
        <v>0</v>
      </c>
      <c r="U48" s="207">
        <f t="shared" si="42"/>
        <v>0</v>
      </c>
      <c r="V48" s="207">
        <f t="shared" si="42"/>
        <v>0</v>
      </c>
      <c r="W48" s="310">
        <f t="shared" si="42"/>
        <v>0</v>
      </c>
      <c r="X48" s="207">
        <f>IFERROR(IF(X34&gt;X35,0,+ROUND((X35-X34)/Y48,0)),0)</f>
        <v>0</v>
      </c>
      <c r="Y48" s="189">
        <v>36.700000000000003</v>
      </c>
    </row>
    <row r="49" spans="2:25">
      <c r="B49" s="387" t="s">
        <v>366</v>
      </c>
      <c r="C49" s="1325"/>
      <c r="D49" s="1348"/>
      <c r="E49" s="1338"/>
      <c r="F49" s="179" t="s">
        <v>370</v>
      </c>
      <c r="G49" s="178" t="s">
        <v>388</v>
      </c>
      <c r="H49" s="1348"/>
      <c r="I49" s="207">
        <f t="shared" ref="I49:W49" si="43">IFERROR(IF(I34&gt;(I35+I47),0,ROUND((I35+I47-I34)/J48,0)),0)</f>
        <v>0</v>
      </c>
      <c r="J49" s="207">
        <f t="shared" si="43"/>
        <v>0</v>
      </c>
      <c r="K49" s="207">
        <f t="shared" si="43"/>
        <v>0</v>
      </c>
      <c r="L49" s="207">
        <f t="shared" si="43"/>
        <v>0</v>
      </c>
      <c r="M49" s="207">
        <f t="shared" si="43"/>
        <v>0</v>
      </c>
      <c r="N49" s="207">
        <f t="shared" si="43"/>
        <v>0</v>
      </c>
      <c r="O49" s="207">
        <f t="shared" si="43"/>
        <v>0</v>
      </c>
      <c r="P49" s="207">
        <f t="shared" si="43"/>
        <v>0</v>
      </c>
      <c r="Q49" s="207">
        <f t="shared" si="43"/>
        <v>0</v>
      </c>
      <c r="R49" s="207">
        <f t="shared" si="43"/>
        <v>0</v>
      </c>
      <c r="S49" s="207">
        <f t="shared" si="43"/>
        <v>0</v>
      </c>
      <c r="T49" s="207">
        <f t="shared" si="43"/>
        <v>0</v>
      </c>
      <c r="U49" s="207">
        <f t="shared" si="43"/>
        <v>0</v>
      </c>
      <c r="V49" s="207">
        <f t="shared" si="43"/>
        <v>0</v>
      </c>
      <c r="W49" s="310">
        <f t="shared" si="43"/>
        <v>0</v>
      </c>
      <c r="X49" s="207">
        <f>IFERROR(IF(X34&gt;(X35+X47),0,ROUND((X35+X47-X34)/Y48,0)),0)</f>
        <v>60</v>
      </c>
      <c r="Y49" s="189"/>
    </row>
    <row r="50" spans="2:25">
      <c r="B50" s="387" t="s">
        <v>367</v>
      </c>
      <c r="C50" s="1325"/>
      <c r="D50" s="1348"/>
      <c r="E50" s="1338"/>
      <c r="F50" s="179" t="s">
        <v>371</v>
      </c>
      <c r="G50" s="178" t="s">
        <v>389</v>
      </c>
      <c r="H50" s="1348"/>
      <c r="I50" s="208">
        <f t="shared" ref="I50:W50" si="44">IFERROR(IF(I38&gt;=I35,IF((I35-I34-I38)/J48&lt;0,0,+ROUND((I35-I34-I38)/J48,0)),"-"),0)</f>
        <v>0</v>
      </c>
      <c r="J50" s="208">
        <f t="shared" si="44"/>
        <v>0</v>
      </c>
      <c r="K50" s="208">
        <f t="shared" si="44"/>
        <v>0</v>
      </c>
      <c r="L50" s="208">
        <f t="shared" si="44"/>
        <v>0</v>
      </c>
      <c r="M50" s="208" t="str">
        <f t="shared" si="44"/>
        <v>-</v>
      </c>
      <c r="N50" s="208">
        <f t="shared" si="44"/>
        <v>0</v>
      </c>
      <c r="O50" s="208" t="str">
        <f t="shared" si="44"/>
        <v>-</v>
      </c>
      <c r="P50" s="208" t="str">
        <f t="shared" si="44"/>
        <v>-</v>
      </c>
      <c r="Q50" s="208" t="str">
        <f t="shared" si="44"/>
        <v>-</v>
      </c>
      <c r="R50" s="208" t="str">
        <f t="shared" si="44"/>
        <v>-</v>
      </c>
      <c r="S50" s="208">
        <f t="shared" si="44"/>
        <v>0</v>
      </c>
      <c r="T50" s="208">
        <f t="shared" si="44"/>
        <v>0</v>
      </c>
      <c r="U50" s="208">
        <f t="shared" si="44"/>
        <v>0</v>
      </c>
      <c r="V50" s="208">
        <f t="shared" si="44"/>
        <v>0</v>
      </c>
      <c r="W50" s="311">
        <f t="shared" si="44"/>
        <v>0</v>
      </c>
      <c r="X50" s="208">
        <f>IFERROR(IF(X38&gt;=X35,IF((X35-X34-X38)/Y48&lt;0,0,+ROUND((X35-X34-X38)/Y48,0)),"-"),0)</f>
        <v>0</v>
      </c>
      <c r="Y50" s="189"/>
    </row>
    <row r="51" spans="2:25" ht="14.25" thickBot="1">
      <c r="B51" s="419" t="s">
        <v>368</v>
      </c>
      <c r="C51" s="1335"/>
      <c r="D51" s="1357"/>
      <c r="E51" s="1358"/>
      <c r="F51" s="180" t="s">
        <v>372</v>
      </c>
      <c r="G51" s="181" t="s">
        <v>373</v>
      </c>
      <c r="H51" s="1357"/>
      <c r="I51" s="209">
        <f t="shared" ref="I51:W51" si="45">IFERROR(IF(I38&gt;=I35,ROUND((I35+I47-I38)/J48,0),"-"),0)</f>
        <v>0</v>
      </c>
      <c r="J51" s="209">
        <f t="shared" si="45"/>
        <v>0</v>
      </c>
      <c r="K51" s="209">
        <f t="shared" si="45"/>
        <v>0</v>
      </c>
      <c r="L51" s="209">
        <f t="shared" si="45"/>
        <v>0</v>
      </c>
      <c r="M51" s="209" t="str">
        <f t="shared" si="45"/>
        <v>-</v>
      </c>
      <c r="N51" s="209">
        <f t="shared" si="45"/>
        <v>0</v>
      </c>
      <c r="O51" s="209" t="str">
        <f t="shared" si="45"/>
        <v>-</v>
      </c>
      <c r="P51" s="209" t="str">
        <f t="shared" si="45"/>
        <v>-</v>
      </c>
      <c r="Q51" s="209" t="str">
        <f t="shared" si="45"/>
        <v>-</v>
      </c>
      <c r="R51" s="209" t="str">
        <f t="shared" si="45"/>
        <v>-</v>
      </c>
      <c r="S51" s="209">
        <f t="shared" si="45"/>
        <v>0</v>
      </c>
      <c r="T51" s="209">
        <f t="shared" si="45"/>
        <v>0</v>
      </c>
      <c r="U51" s="209">
        <f t="shared" si="45"/>
        <v>0</v>
      </c>
      <c r="V51" s="209">
        <f t="shared" si="45"/>
        <v>0</v>
      </c>
      <c r="W51" s="312">
        <f t="shared" si="45"/>
        <v>0</v>
      </c>
      <c r="X51" s="209">
        <f>IFERROR(IF(X38&gt;=X35,ROUND((X35+X47-X38)/Y48,0),"-"),0)</f>
        <v>313</v>
      </c>
      <c r="Y51" s="191"/>
    </row>
    <row r="52" spans="2:25">
      <c r="B52" s="32"/>
      <c r="C52" s="171"/>
      <c r="D52" s="171"/>
      <c r="E52" s="33"/>
      <c r="F52" s="33"/>
      <c r="G52" s="172"/>
      <c r="H52" s="32"/>
      <c r="I52" s="173"/>
      <c r="J52" s="173"/>
      <c r="K52" s="173"/>
      <c r="L52" s="173"/>
      <c r="M52" s="173"/>
      <c r="N52" s="173"/>
      <c r="O52" s="173"/>
      <c r="P52" s="173"/>
      <c r="Q52" s="173"/>
      <c r="R52" s="173"/>
      <c r="S52" s="173"/>
      <c r="T52" s="173"/>
      <c r="U52" s="173"/>
      <c r="V52" s="173"/>
      <c r="W52" s="173"/>
      <c r="X52" s="174"/>
      <c r="Y52" s="175"/>
    </row>
    <row r="53" spans="2:25" ht="14.25" thickBot="1">
      <c r="B53" s="1359" t="s">
        <v>698</v>
      </c>
      <c r="C53" s="1359"/>
      <c r="D53" s="1359"/>
      <c r="E53" s="1359"/>
      <c r="F53" s="1359"/>
      <c r="G53" s="1359"/>
      <c r="H53" s="1359"/>
      <c r="I53" s="1359"/>
      <c r="J53" s="1359"/>
      <c r="K53" s="1359"/>
      <c r="L53" s="1359"/>
      <c r="M53" s="1359"/>
      <c r="N53" s="1359"/>
      <c r="O53" s="1359"/>
      <c r="P53" s="1359"/>
      <c r="Q53" s="1359"/>
      <c r="R53" s="1359"/>
      <c r="S53" s="1359"/>
      <c r="T53" s="1359"/>
      <c r="U53" s="1359"/>
      <c r="V53" s="1359"/>
      <c r="W53" s="1359"/>
      <c r="X53" s="1359"/>
      <c r="Y53" s="1359"/>
    </row>
    <row r="54" spans="2:25" ht="14.25" thickBot="1">
      <c r="B54" s="1360" t="s">
        <v>331</v>
      </c>
      <c r="C54" s="1361"/>
      <c r="D54" s="1361"/>
      <c r="E54" s="1361"/>
      <c r="F54" s="1361"/>
      <c r="G54" s="1361"/>
      <c r="H54" s="1361"/>
      <c r="I54" s="1361"/>
      <c r="J54" s="1361"/>
      <c r="K54" s="1361"/>
      <c r="L54" s="1361"/>
      <c r="M54" s="1361"/>
      <c r="N54" s="1361"/>
      <c r="O54" s="1361"/>
      <c r="P54" s="1361"/>
      <c r="Q54" s="1361"/>
      <c r="R54" s="1361"/>
      <c r="S54" s="1361"/>
      <c r="T54" s="1361"/>
      <c r="U54" s="1361"/>
      <c r="V54" s="1361"/>
      <c r="W54" s="1361"/>
      <c r="X54" s="1361"/>
      <c r="Y54" s="1362"/>
    </row>
    <row r="55" spans="2:25">
      <c r="B55" s="1305" t="str">
        <f>B4</f>
        <v>記号</v>
      </c>
      <c r="C55" s="1363" t="str">
        <f>C4</f>
        <v>項目</v>
      </c>
      <c r="D55" s="1363"/>
      <c r="E55" s="1363"/>
      <c r="F55" s="1363"/>
      <c r="G55" s="1364" t="str">
        <f t="shared" ref="G55:Y55" si="46">G4</f>
        <v>根拠</v>
      </c>
      <c r="H55" s="1363" t="str">
        <f t="shared" si="46"/>
        <v>単位</v>
      </c>
      <c r="I55" s="1311" t="str">
        <f t="shared" si="46"/>
        <v>A市浄化センター</v>
      </c>
      <c r="J55" s="1311" t="str">
        <f t="shared" si="46"/>
        <v>B町中央浄化センター</v>
      </c>
      <c r="K55" s="1311" t="str">
        <f t="shared" si="46"/>
        <v>B町浄化センター</v>
      </c>
      <c r="L55" s="1311" t="str">
        <f t="shared" si="46"/>
        <v>C町西浄化センター</v>
      </c>
      <c r="M55" s="1311" t="str">
        <f t="shared" si="46"/>
        <v>C町東浄化センター</v>
      </c>
      <c r="N55" s="1311" t="str">
        <f t="shared" si="46"/>
        <v>C町中部浄化センター</v>
      </c>
      <c r="O55" s="1311" t="str">
        <f t="shared" si="46"/>
        <v>その他処理場</v>
      </c>
      <c r="P55" s="1311" t="str">
        <f t="shared" si="46"/>
        <v>A市・B町・C町</v>
      </c>
      <c r="Q55" s="1311" t="str">
        <f t="shared" si="46"/>
        <v>A市・B町・C町</v>
      </c>
      <c r="R55" s="1311" t="str">
        <f t="shared" si="46"/>
        <v>A市・B町・C町</v>
      </c>
      <c r="S55" s="1311" t="str">
        <f t="shared" si="46"/>
        <v>A市・B町・C町</v>
      </c>
      <c r="T55" s="1311">
        <f t="shared" si="46"/>
        <v>0</v>
      </c>
      <c r="U55" s="1311">
        <f t="shared" si="46"/>
        <v>0</v>
      </c>
      <c r="V55" s="1311">
        <f t="shared" si="46"/>
        <v>0</v>
      </c>
      <c r="W55" s="1366">
        <f t="shared" si="46"/>
        <v>0</v>
      </c>
      <c r="X55" s="1368" t="str">
        <f t="shared" si="46"/>
        <v>総合</v>
      </c>
      <c r="Y55" s="1371" t="str">
        <f t="shared" si="46"/>
        <v>備考</v>
      </c>
    </row>
    <row r="56" spans="2:25">
      <c r="B56" s="1306"/>
      <c r="C56" s="1283"/>
      <c r="D56" s="1283"/>
      <c r="E56" s="1283"/>
      <c r="F56" s="1283"/>
      <c r="G56" s="1365"/>
      <c r="H56" s="1283"/>
      <c r="I56" s="1285"/>
      <c r="J56" s="1285"/>
      <c r="K56" s="1285"/>
      <c r="L56" s="1285"/>
      <c r="M56" s="1285"/>
      <c r="N56" s="1285"/>
      <c r="O56" s="1285"/>
      <c r="P56" s="1285"/>
      <c r="Q56" s="1285"/>
      <c r="R56" s="1285"/>
      <c r="S56" s="1285"/>
      <c r="T56" s="1285"/>
      <c r="U56" s="1285"/>
      <c r="V56" s="1285"/>
      <c r="W56" s="1367"/>
      <c r="X56" s="1369"/>
      <c r="Y56" s="1372"/>
    </row>
    <row r="57" spans="2:25" ht="13.5" customHeight="1">
      <c r="B57" s="1306"/>
      <c r="C57" s="1283"/>
      <c r="D57" s="1283"/>
      <c r="E57" s="1283"/>
      <c r="F57" s="1283"/>
      <c r="G57" s="1365"/>
      <c r="H57" s="1283"/>
      <c r="I57" s="1312" t="str">
        <f t="shared" ref="I57:W57" si="47">I6</f>
        <v>脱水汚泥</v>
      </c>
      <c r="J57" s="1312" t="str">
        <f t="shared" si="47"/>
        <v>脱水汚泥</v>
      </c>
      <c r="K57" s="1312" t="str">
        <f t="shared" si="47"/>
        <v>脱水汚泥</v>
      </c>
      <c r="L57" s="1312" t="str">
        <f t="shared" si="47"/>
        <v>脱水汚泥</v>
      </c>
      <c r="M57" s="1312" t="str">
        <f t="shared" si="47"/>
        <v>濃縮汚泥</v>
      </c>
      <c r="N57" s="1312" t="str">
        <f t="shared" si="47"/>
        <v>脱水汚泥</v>
      </c>
      <c r="O57" s="1312" t="str">
        <f t="shared" si="47"/>
        <v>濃縮汚泥</v>
      </c>
      <c r="P57" s="1312" t="str">
        <f t="shared" si="47"/>
        <v>し尿</v>
      </c>
      <c r="Q57" s="1312" t="str">
        <f t="shared" si="47"/>
        <v>浄化槽汚泥</v>
      </c>
      <c r="R57" s="1375" t="str">
        <f t="shared" si="47"/>
        <v>集落排水汚泥</v>
      </c>
      <c r="S57" s="1312" t="str">
        <f t="shared" si="47"/>
        <v>生ごみ</v>
      </c>
      <c r="T57" s="1312">
        <f t="shared" si="47"/>
        <v>0</v>
      </c>
      <c r="U57" s="1312">
        <f t="shared" si="47"/>
        <v>0</v>
      </c>
      <c r="V57" s="1312">
        <f t="shared" si="47"/>
        <v>0</v>
      </c>
      <c r="W57" s="1374">
        <f t="shared" si="47"/>
        <v>0</v>
      </c>
      <c r="X57" s="1369"/>
      <c r="Y57" s="1372"/>
    </row>
    <row r="58" spans="2:25">
      <c r="B58" s="1306"/>
      <c r="C58" s="1283"/>
      <c r="D58" s="1283"/>
      <c r="E58" s="1283"/>
      <c r="F58" s="1283"/>
      <c r="G58" s="1365"/>
      <c r="H58" s="1283"/>
      <c r="I58" s="1312"/>
      <c r="J58" s="1312"/>
      <c r="K58" s="1312"/>
      <c r="L58" s="1312"/>
      <c r="M58" s="1312"/>
      <c r="N58" s="1312"/>
      <c r="O58" s="1312"/>
      <c r="P58" s="1312"/>
      <c r="Q58" s="1312"/>
      <c r="R58" s="1375"/>
      <c r="S58" s="1312"/>
      <c r="T58" s="1312"/>
      <c r="U58" s="1312"/>
      <c r="V58" s="1312"/>
      <c r="W58" s="1374"/>
      <c r="X58" s="1370"/>
      <c r="Y58" s="1373"/>
    </row>
    <row r="59" spans="2:25">
      <c r="B59" s="176" t="s">
        <v>390</v>
      </c>
      <c r="C59" s="1325" t="s">
        <v>70</v>
      </c>
      <c r="D59" s="1326" t="s">
        <v>56</v>
      </c>
      <c r="E59" s="1329" t="s">
        <v>57</v>
      </c>
      <c r="F59" s="422" t="s">
        <v>58</v>
      </c>
      <c r="G59" s="8" t="s">
        <v>50</v>
      </c>
      <c r="H59" s="426" t="s">
        <v>0</v>
      </c>
      <c r="I59" s="11">
        <f>ROUND(③基本情報入力【例】!Q14*③基本情報入力【例】!L15,2)</f>
        <v>3</v>
      </c>
      <c r="J59" s="11">
        <f>ROUND(③基本情報入力【例】!V14*③基本情報入力【例】!V15,2)</f>
        <v>1.2</v>
      </c>
      <c r="K59" s="11">
        <f>ROUND(③基本情報入力【例】!AA14*③基本情報入力【例】!AA15,2)</f>
        <v>0.84</v>
      </c>
      <c r="L59" s="11">
        <f>ROUND(③基本情報入力【例】!AF14*③基本情報入力【例】!AF15,2)</f>
        <v>0.6</v>
      </c>
      <c r="M59" s="11">
        <f>ROUND(③基本情報入力【例】!AK14*③基本情報入力【例】!AK15,2)</f>
        <v>0.12</v>
      </c>
      <c r="N59" s="11">
        <f>ROUND(③基本情報入力【例】!AP14*③基本情報入力【例】!AP15,2)</f>
        <v>0.36</v>
      </c>
      <c r="O59" s="11">
        <f>ROUND(③基本情報入力【例】!AU14*③基本情報入力【例】!AU15,2)</f>
        <v>0.6</v>
      </c>
      <c r="P59" s="11">
        <f>ROUND(③基本情報入力【例】!L31*③基本情報入力【例】!L32,2)</f>
        <v>3.6</v>
      </c>
      <c r="Q59" s="11">
        <f>ROUND(③基本情報入力【例】!Q31*③基本情報入力【例】!Q32,2)</f>
        <v>18</v>
      </c>
      <c r="R59" s="11">
        <f>ROUND(③基本情報入力【例】!V31*③基本情報入力【例】!V32,2)</f>
        <v>6</v>
      </c>
      <c r="S59" s="11">
        <f>ROUND(③基本情報入力【例】!AA31*③基本情報入力【例】!AA32,2)</f>
        <v>4.8</v>
      </c>
      <c r="T59" s="11">
        <f>ROUND(③基本情報入力【例】!AF31*③基本情報入力【例】!AF32,2)</f>
        <v>0</v>
      </c>
      <c r="U59" s="11">
        <f>ROUND(③基本情報入力【例】!AK31*③基本情報入力【例】!AK32,2)</f>
        <v>0</v>
      </c>
      <c r="V59" s="11">
        <f>ROUND(③基本情報入力【例】!AP31*③基本情報入力【例】!AP32,2)</f>
        <v>0</v>
      </c>
      <c r="W59" s="211">
        <f>ROUND(③基本情報入力【例】!AQ31*③基本情報入力【例】!AQ32,2)</f>
        <v>0</v>
      </c>
      <c r="X59" s="10">
        <f t="shared" ref="X59:X64" si="48">+SUM(I59:V59)</f>
        <v>39.119999999999997</v>
      </c>
      <c r="Y59" s="13" t="s">
        <v>170</v>
      </c>
    </row>
    <row r="60" spans="2:25">
      <c r="B60" s="416" t="s">
        <v>391</v>
      </c>
      <c r="C60" s="1326"/>
      <c r="D60" s="1328"/>
      <c r="E60" s="1330"/>
      <c r="F60" s="418" t="s">
        <v>59</v>
      </c>
      <c r="G60" s="429" t="s">
        <v>65</v>
      </c>
      <c r="H60" s="420" t="s">
        <v>0</v>
      </c>
      <c r="I60" s="14">
        <f t="shared" ref="I60:W60" si="49">ROUND(+I59*I65/100,2)</f>
        <v>0</v>
      </c>
      <c r="J60" s="14">
        <f t="shared" si="49"/>
        <v>0</v>
      </c>
      <c r="K60" s="14">
        <f t="shared" si="49"/>
        <v>0</v>
      </c>
      <c r="L60" s="14">
        <f t="shared" si="49"/>
        <v>0</v>
      </c>
      <c r="M60" s="14">
        <f t="shared" si="49"/>
        <v>0</v>
      </c>
      <c r="N60" s="14">
        <f t="shared" si="49"/>
        <v>0</v>
      </c>
      <c r="O60" s="14">
        <f t="shared" si="49"/>
        <v>0</v>
      </c>
      <c r="P60" s="15">
        <f t="shared" si="49"/>
        <v>0</v>
      </c>
      <c r="Q60" s="14">
        <f t="shared" si="49"/>
        <v>0</v>
      </c>
      <c r="R60" s="14">
        <f t="shared" si="49"/>
        <v>0</v>
      </c>
      <c r="S60" s="16">
        <f t="shared" si="49"/>
        <v>0</v>
      </c>
      <c r="T60" s="16">
        <f t="shared" si="49"/>
        <v>0</v>
      </c>
      <c r="U60" s="16">
        <f t="shared" si="49"/>
        <v>0</v>
      </c>
      <c r="V60" s="16">
        <f t="shared" si="49"/>
        <v>0</v>
      </c>
      <c r="W60" s="210">
        <f t="shared" si="49"/>
        <v>0</v>
      </c>
      <c r="X60" s="15">
        <f t="shared" si="48"/>
        <v>0</v>
      </c>
      <c r="Y60" s="17"/>
    </row>
    <row r="61" spans="2:25">
      <c r="B61" s="416" t="s">
        <v>392</v>
      </c>
      <c r="C61" s="1326"/>
      <c r="D61" s="1331" t="s">
        <v>54</v>
      </c>
      <c r="E61" s="1332" t="s">
        <v>60</v>
      </c>
      <c r="F61" s="418" t="s">
        <v>61</v>
      </c>
      <c r="G61" s="429" t="s">
        <v>168</v>
      </c>
      <c r="H61" s="420" t="s">
        <v>0</v>
      </c>
      <c r="I61" s="18">
        <f>I59-I60</f>
        <v>3</v>
      </c>
      <c r="J61" s="18">
        <f t="shared" ref="J61:O61" si="50">J59-J60</f>
        <v>1.2</v>
      </c>
      <c r="K61" s="18">
        <f t="shared" si="50"/>
        <v>0.84</v>
      </c>
      <c r="L61" s="18">
        <f t="shared" si="50"/>
        <v>0.6</v>
      </c>
      <c r="M61" s="18">
        <f t="shared" si="50"/>
        <v>0.12</v>
      </c>
      <c r="N61" s="18">
        <f t="shared" si="50"/>
        <v>0.36</v>
      </c>
      <c r="O61" s="18">
        <f t="shared" si="50"/>
        <v>0.6</v>
      </c>
      <c r="P61" s="18">
        <f>P59-P60</f>
        <v>3.6</v>
      </c>
      <c r="Q61" s="18">
        <f t="shared" ref="Q61:W61" si="51">Q59-Q60</f>
        <v>18</v>
      </c>
      <c r="R61" s="18">
        <f t="shared" si="51"/>
        <v>6</v>
      </c>
      <c r="S61" s="18">
        <f>S59-S60</f>
        <v>4.8</v>
      </c>
      <c r="T61" s="18">
        <f t="shared" si="51"/>
        <v>0</v>
      </c>
      <c r="U61" s="18">
        <f>U59-U60</f>
        <v>0</v>
      </c>
      <c r="V61" s="18">
        <f t="shared" si="51"/>
        <v>0</v>
      </c>
      <c r="W61" s="315">
        <f t="shared" si="51"/>
        <v>0</v>
      </c>
      <c r="X61" s="15">
        <f t="shared" si="48"/>
        <v>39.119999999999997</v>
      </c>
      <c r="Y61" s="17"/>
    </row>
    <row r="62" spans="2:25">
      <c r="B62" s="416" t="s">
        <v>393</v>
      </c>
      <c r="C62" s="1326"/>
      <c r="D62" s="1326"/>
      <c r="E62" s="1329"/>
      <c r="F62" s="418" t="s">
        <v>62</v>
      </c>
      <c r="G62" s="429" t="s">
        <v>66</v>
      </c>
      <c r="H62" s="420" t="s">
        <v>38</v>
      </c>
      <c r="I62" s="34">
        <f t="shared" ref="I62:W62" si="52">ROUND(+I61*I66/100,2)</f>
        <v>0.51</v>
      </c>
      <c r="J62" s="34">
        <f t="shared" si="52"/>
        <v>0.19</v>
      </c>
      <c r="K62" s="34">
        <f t="shared" si="52"/>
        <v>0.13</v>
      </c>
      <c r="L62" s="34">
        <f t="shared" si="52"/>
        <v>0.1</v>
      </c>
      <c r="M62" s="34">
        <f t="shared" si="52"/>
        <v>0</v>
      </c>
      <c r="N62" s="34">
        <f t="shared" si="52"/>
        <v>0.06</v>
      </c>
      <c r="O62" s="34">
        <f t="shared" si="52"/>
        <v>0.01</v>
      </c>
      <c r="P62" s="35">
        <f t="shared" si="52"/>
        <v>0.09</v>
      </c>
      <c r="Q62" s="34">
        <f t="shared" si="52"/>
        <v>0.23</v>
      </c>
      <c r="R62" s="34">
        <f t="shared" si="52"/>
        <v>0.14000000000000001</v>
      </c>
      <c r="S62" s="36">
        <f t="shared" si="52"/>
        <v>1.24</v>
      </c>
      <c r="T62" s="36">
        <f t="shared" si="52"/>
        <v>0</v>
      </c>
      <c r="U62" s="36">
        <f t="shared" si="52"/>
        <v>0</v>
      </c>
      <c r="V62" s="36">
        <f t="shared" si="52"/>
        <v>0</v>
      </c>
      <c r="W62" s="316">
        <f t="shared" si="52"/>
        <v>0</v>
      </c>
      <c r="X62" s="15">
        <f t="shared" si="48"/>
        <v>2.7</v>
      </c>
      <c r="Y62" s="17"/>
    </row>
    <row r="63" spans="2:25">
      <c r="B63" s="416" t="s">
        <v>394</v>
      </c>
      <c r="C63" s="1326"/>
      <c r="D63" s="1326"/>
      <c r="E63" s="1329"/>
      <c r="F63" s="418" t="s">
        <v>63</v>
      </c>
      <c r="G63" s="19" t="s">
        <v>67</v>
      </c>
      <c r="H63" s="420" t="s">
        <v>69</v>
      </c>
      <c r="I63" s="14">
        <f>+I61-I62</f>
        <v>2.4900000000000002</v>
      </c>
      <c r="J63" s="14">
        <f t="shared" ref="J63:O63" si="53">+J61-J62</f>
        <v>1.01</v>
      </c>
      <c r="K63" s="14">
        <f t="shared" si="53"/>
        <v>0.71</v>
      </c>
      <c r="L63" s="14">
        <f t="shared" si="53"/>
        <v>0.5</v>
      </c>
      <c r="M63" s="14">
        <f t="shared" si="53"/>
        <v>0.12</v>
      </c>
      <c r="N63" s="14">
        <f t="shared" si="53"/>
        <v>0.3</v>
      </c>
      <c r="O63" s="14">
        <f t="shared" si="53"/>
        <v>0.59</v>
      </c>
      <c r="P63" s="15">
        <f>+P61-P62</f>
        <v>3.5100000000000002</v>
      </c>
      <c r="Q63" s="14">
        <f>+Q61-Q62</f>
        <v>17.77</v>
      </c>
      <c r="R63" s="14">
        <f>+R61-R62</f>
        <v>5.86</v>
      </c>
      <c r="S63" s="16">
        <f t="shared" ref="S63:W63" si="54">+S61-S62</f>
        <v>3.5599999999999996</v>
      </c>
      <c r="T63" s="16">
        <f t="shared" si="54"/>
        <v>0</v>
      </c>
      <c r="U63" s="16">
        <f t="shared" si="54"/>
        <v>0</v>
      </c>
      <c r="V63" s="16">
        <f t="shared" si="54"/>
        <v>0</v>
      </c>
      <c r="W63" s="210">
        <f t="shared" si="54"/>
        <v>0</v>
      </c>
      <c r="X63" s="15">
        <f t="shared" si="48"/>
        <v>36.42</v>
      </c>
      <c r="Y63" s="17"/>
    </row>
    <row r="64" spans="2:25" ht="14.25" thickBot="1">
      <c r="B64" s="416" t="s">
        <v>395</v>
      </c>
      <c r="C64" s="1327"/>
      <c r="D64" s="1327"/>
      <c r="E64" s="1333"/>
      <c r="F64" s="192" t="s">
        <v>64</v>
      </c>
      <c r="G64" s="204" t="s">
        <v>68</v>
      </c>
      <c r="H64" s="53" t="s">
        <v>35</v>
      </c>
      <c r="I64" s="190">
        <f t="shared" ref="I64:W64" si="55">ROUND(+I62*I67/100,2)</f>
        <v>0.41</v>
      </c>
      <c r="J64" s="190">
        <f t="shared" si="55"/>
        <v>0.15</v>
      </c>
      <c r="K64" s="190">
        <f t="shared" si="55"/>
        <v>0.1</v>
      </c>
      <c r="L64" s="190">
        <f t="shared" si="55"/>
        <v>0.08</v>
      </c>
      <c r="M64" s="190">
        <f t="shared" si="55"/>
        <v>0</v>
      </c>
      <c r="N64" s="190">
        <f t="shared" si="55"/>
        <v>0.05</v>
      </c>
      <c r="O64" s="190">
        <f t="shared" si="55"/>
        <v>0.01</v>
      </c>
      <c r="P64" s="205">
        <f t="shared" si="55"/>
        <v>0.05</v>
      </c>
      <c r="Q64" s="190">
        <f t="shared" si="55"/>
        <v>0.18</v>
      </c>
      <c r="R64" s="190">
        <f t="shared" si="55"/>
        <v>0.1</v>
      </c>
      <c r="S64" s="206">
        <f t="shared" si="55"/>
        <v>1.0900000000000001</v>
      </c>
      <c r="T64" s="206">
        <f t="shared" si="55"/>
        <v>0</v>
      </c>
      <c r="U64" s="206">
        <f t="shared" si="55"/>
        <v>0</v>
      </c>
      <c r="V64" s="206">
        <f t="shared" si="55"/>
        <v>0</v>
      </c>
      <c r="W64" s="307">
        <f t="shared" si="55"/>
        <v>0</v>
      </c>
      <c r="X64" s="205">
        <f t="shared" si="48"/>
        <v>2.2200000000000002</v>
      </c>
      <c r="Y64" s="193"/>
    </row>
    <row r="65" spans="2:25" ht="13.5" customHeight="1">
      <c r="B65" s="262" t="s">
        <v>396</v>
      </c>
      <c r="C65" s="1334" t="s">
        <v>89</v>
      </c>
      <c r="D65" s="428" t="s">
        <v>56</v>
      </c>
      <c r="E65" s="421" t="s">
        <v>57</v>
      </c>
      <c r="F65" s="421" t="s">
        <v>71</v>
      </c>
      <c r="G65" s="183" t="s">
        <v>50</v>
      </c>
      <c r="H65" s="428" t="s">
        <v>53</v>
      </c>
      <c r="I65" s="198">
        <f t="shared" ref="I65:W69" si="56">I14</f>
        <v>0</v>
      </c>
      <c r="J65" s="198">
        <f t="shared" si="56"/>
        <v>0</v>
      </c>
      <c r="K65" s="198">
        <f t="shared" si="56"/>
        <v>0</v>
      </c>
      <c r="L65" s="198">
        <f t="shared" si="56"/>
        <v>0</v>
      </c>
      <c r="M65" s="198">
        <f t="shared" si="56"/>
        <v>0</v>
      </c>
      <c r="N65" s="198">
        <f t="shared" si="56"/>
        <v>0</v>
      </c>
      <c r="O65" s="198">
        <f t="shared" si="56"/>
        <v>0</v>
      </c>
      <c r="P65" s="198">
        <f t="shared" si="56"/>
        <v>0</v>
      </c>
      <c r="Q65" s="199">
        <f t="shared" si="56"/>
        <v>0</v>
      </c>
      <c r="R65" s="199">
        <f t="shared" si="56"/>
        <v>0</v>
      </c>
      <c r="S65" s="199">
        <f t="shared" si="56"/>
        <v>0</v>
      </c>
      <c r="T65" s="199">
        <f t="shared" si="56"/>
        <v>0</v>
      </c>
      <c r="U65" s="199">
        <f t="shared" si="56"/>
        <v>0</v>
      </c>
      <c r="V65" s="199">
        <f t="shared" si="56"/>
        <v>0</v>
      </c>
      <c r="W65" s="317">
        <f t="shared" si="56"/>
        <v>0</v>
      </c>
      <c r="X65" s="59">
        <f>+ROUND(X60/X59*100,1)</f>
        <v>0</v>
      </c>
      <c r="Y65" s="20"/>
    </row>
    <row r="66" spans="2:25">
      <c r="B66" s="416" t="s">
        <v>397</v>
      </c>
      <c r="C66" s="1325"/>
      <c r="D66" s="1331" t="s">
        <v>54</v>
      </c>
      <c r="E66" s="1336" t="s">
        <v>60</v>
      </c>
      <c r="F66" s="21" t="s">
        <v>51</v>
      </c>
      <c r="G66" s="170" t="s">
        <v>50</v>
      </c>
      <c r="H66" s="420" t="s">
        <v>53</v>
      </c>
      <c r="I66" s="52">
        <f t="shared" si="56"/>
        <v>17</v>
      </c>
      <c r="J66" s="52">
        <f t="shared" si="56"/>
        <v>16</v>
      </c>
      <c r="K66" s="52">
        <f t="shared" si="56"/>
        <v>16</v>
      </c>
      <c r="L66" s="52">
        <f t="shared" si="56"/>
        <v>17</v>
      </c>
      <c r="M66" s="52">
        <f t="shared" si="56"/>
        <v>1.5</v>
      </c>
      <c r="N66" s="52">
        <f t="shared" si="56"/>
        <v>16</v>
      </c>
      <c r="O66" s="52">
        <f t="shared" si="56"/>
        <v>1.1000000000000001</v>
      </c>
      <c r="P66" s="52">
        <f t="shared" si="56"/>
        <v>2.4</v>
      </c>
      <c r="Q66" s="49">
        <f t="shared" si="56"/>
        <v>1.3</v>
      </c>
      <c r="R66" s="49">
        <f t="shared" si="56"/>
        <v>2.2999999999999998</v>
      </c>
      <c r="S66" s="49">
        <f t="shared" si="56"/>
        <v>25.9</v>
      </c>
      <c r="T66" s="49">
        <f t="shared" si="56"/>
        <v>0</v>
      </c>
      <c r="U66" s="49">
        <f t="shared" si="56"/>
        <v>0</v>
      </c>
      <c r="V66" s="49">
        <f t="shared" si="56"/>
        <v>0</v>
      </c>
      <c r="W66" s="318">
        <f t="shared" si="56"/>
        <v>0</v>
      </c>
      <c r="X66" s="26">
        <f>IF(X61=0,0,ROUND(+X62/X61*100,1))</f>
        <v>6.9</v>
      </c>
      <c r="Y66" s="22"/>
    </row>
    <row r="67" spans="2:25">
      <c r="B67" s="416" t="s">
        <v>398</v>
      </c>
      <c r="C67" s="1325"/>
      <c r="D67" s="1325"/>
      <c r="E67" s="1336"/>
      <c r="F67" s="21" t="s">
        <v>52</v>
      </c>
      <c r="G67" s="170" t="s">
        <v>50</v>
      </c>
      <c r="H67" s="420" t="s">
        <v>91</v>
      </c>
      <c r="I67" s="52">
        <f t="shared" si="56"/>
        <v>80.7</v>
      </c>
      <c r="J67" s="52">
        <f t="shared" si="56"/>
        <v>80.7</v>
      </c>
      <c r="K67" s="52">
        <f t="shared" si="56"/>
        <v>80.7</v>
      </c>
      <c r="L67" s="52">
        <f t="shared" si="56"/>
        <v>80.7</v>
      </c>
      <c r="M67" s="52">
        <f t="shared" si="56"/>
        <v>80.7</v>
      </c>
      <c r="N67" s="52">
        <f t="shared" si="56"/>
        <v>80.7</v>
      </c>
      <c r="O67" s="52">
        <f t="shared" si="56"/>
        <v>80.7</v>
      </c>
      <c r="P67" s="52">
        <f t="shared" si="56"/>
        <v>55.6</v>
      </c>
      <c r="Q67" s="49">
        <f t="shared" si="56"/>
        <v>78.599999999999994</v>
      </c>
      <c r="R67" s="49">
        <f t="shared" si="56"/>
        <v>73.599999999999994</v>
      </c>
      <c r="S67" s="49">
        <f t="shared" si="56"/>
        <v>87.9</v>
      </c>
      <c r="T67" s="49">
        <f t="shared" si="56"/>
        <v>0</v>
      </c>
      <c r="U67" s="49">
        <f t="shared" si="56"/>
        <v>0</v>
      </c>
      <c r="V67" s="49">
        <f t="shared" si="56"/>
        <v>0</v>
      </c>
      <c r="W67" s="318">
        <f t="shared" si="56"/>
        <v>0</v>
      </c>
      <c r="X67" s="26">
        <f>+ROUND(X64/X62*100,1)</f>
        <v>82.2</v>
      </c>
      <c r="Y67" s="22"/>
    </row>
    <row r="68" spans="2:25">
      <c r="B68" s="416" t="s">
        <v>399</v>
      </c>
      <c r="C68" s="1325"/>
      <c r="D68" s="1325"/>
      <c r="E68" s="1336" t="s">
        <v>72</v>
      </c>
      <c r="F68" s="21" t="s">
        <v>73</v>
      </c>
      <c r="G68" s="170" t="s">
        <v>50</v>
      </c>
      <c r="H68" s="420" t="s">
        <v>53</v>
      </c>
      <c r="I68" s="52">
        <f t="shared" si="56"/>
        <v>30</v>
      </c>
      <c r="J68" s="52">
        <f t="shared" si="56"/>
        <v>30</v>
      </c>
      <c r="K68" s="52">
        <f t="shared" si="56"/>
        <v>30</v>
      </c>
      <c r="L68" s="52">
        <f t="shared" si="56"/>
        <v>30</v>
      </c>
      <c r="M68" s="52">
        <f t="shared" si="56"/>
        <v>30</v>
      </c>
      <c r="N68" s="52">
        <f t="shared" si="56"/>
        <v>30</v>
      </c>
      <c r="O68" s="52">
        <f t="shared" si="56"/>
        <v>30</v>
      </c>
      <c r="P68" s="52">
        <f t="shared" si="56"/>
        <v>46</v>
      </c>
      <c r="Q68" s="49">
        <f t="shared" si="56"/>
        <v>46</v>
      </c>
      <c r="R68" s="49">
        <f t="shared" si="56"/>
        <v>46</v>
      </c>
      <c r="S68" s="49">
        <f t="shared" si="56"/>
        <v>78</v>
      </c>
      <c r="T68" s="49">
        <f t="shared" si="56"/>
        <v>0</v>
      </c>
      <c r="U68" s="49">
        <f t="shared" si="56"/>
        <v>0</v>
      </c>
      <c r="V68" s="49">
        <f t="shared" si="56"/>
        <v>0</v>
      </c>
      <c r="W68" s="318">
        <f t="shared" si="56"/>
        <v>0</v>
      </c>
      <c r="X68" s="26">
        <f>+ROUND(X81/X64*100,1)</f>
        <v>55.9</v>
      </c>
      <c r="Y68" s="22"/>
    </row>
    <row r="69" spans="2:25" ht="15.75">
      <c r="B69" s="416" t="s">
        <v>400</v>
      </c>
      <c r="C69" s="1325"/>
      <c r="D69" s="1325"/>
      <c r="E69" s="1336"/>
      <c r="F69" s="21" t="s">
        <v>74</v>
      </c>
      <c r="G69" s="170" t="s">
        <v>50</v>
      </c>
      <c r="H69" s="420" t="s">
        <v>165</v>
      </c>
      <c r="I69" s="52">
        <f t="shared" si="56"/>
        <v>0.6</v>
      </c>
      <c r="J69" s="52">
        <f t="shared" si="56"/>
        <v>0.6</v>
      </c>
      <c r="K69" s="52">
        <f t="shared" si="56"/>
        <v>0.6</v>
      </c>
      <c r="L69" s="52">
        <f t="shared" si="56"/>
        <v>0.6</v>
      </c>
      <c r="M69" s="52">
        <f t="shared" si="56"/>
        <v>0.6</v>
      </c>
      <c r="N69" s="52">
        <f t="shared" si="56"/>
        <v>0.6</v>
      </c>
      <c r="O69" s="52">
        <f t="shared" si="56"/>
        <v>0.6</v>
      </c>
      <c r="P69" s="52">
        <f t="shared" si="56"/>
        <v>0.8</v>
      </c>
      <c r="Q69" s="49">
        <f t="shared" si="56"/>
        <v>0.8</v>
      </c>
      <c r="R69" s="49">
        <f t="shared" si="56"/>
        <v>0.8</v>
      </c>
      <c r="S69" s="49">
        <f t="shared" si="56"/>
        <v>0.9</v>
      </c>
      <c r="T69" s="49">
        <f t="shared" si="56"/>
        <v>0</v>
      </c>
      <c r="U69" s="49">
        <f t="shared" si="56"/>
        <v>0</v>
      </c>
      <c r="V69" s="49">
        <f t="shared" si="56"/>
        <v>0</v>
      </c>
      <c r="W69" s="318">
        <f t="shared" si="56"/>
        <v>0</v>
      </c>
      <c r="X69" s="26">
        <f>+ROUND(X84/X81/1000,2)</f>
        <v>0.83</v>
      </c>
      <c r="Y69" s="22"/>
    </row>
    <row r="70" spans="2:25" ht="15.75" customHeight="1">
      <c r="B70" s="416" t="s">
        <v>401</v>
      </c>
      <c r="C70" s="1325"/>
      <c r="D70" s="1325"/>
      <c r="E70" s="1336"/>
      <c r="F70" s="21" t="s">
        <v>75</v>
      </c>
      <c r="G70" s="170" t="s">
        <v>79</v>
      </c>
      <c r="H70" s="420" t="s">
        <v>166</v>
      </c>
      <c r="I70" s="45">
        <f>$X$70</f>
        <v>35739</v>
      </c>
      <c r="J70" s="45">
        <f t="shared" ref="J70:W70" si="57">$X$70</f>
        <v>35739</v>
      </c>
      <c r="K70" s="45">
        <f t="shared" si="57"/>
        <v>35739</v>
      </c>
      <c r="L70" s="45">
        <f t="shared" si="57"/>
        <v>35739</v>
      </c>
      <c r="M70" s="45">
        <f t="shared" si="57"/>
        <v>35739</v>
      </c>
      <c r="N70" s="45">
        <f t="shared" si="57"/>
        <v>35739</v>
      </c>
      <c r="O70" s="45">
        <f t="shared" si="57"/>
        <v>35739</v>
      </c>
      <c r="P70" s="45">
        <f t="shared" si="57"/>
        <v>35739</v>
      </c>
      <c r="Q70" s="45">
        <f t="shared" si="57"/>
        <v>35739</v>
      </c>
      <c r="R70" s="45">
        <f t="shared" si="57"/>
        <v>35739</v>
      </c>
      <c r="S70" s="45">
        <f t="shared" si="57"/>
        <v>35739</v>
      </c>
      <c r="T70" s="45">
        <f t="shared" si="57"/>
        <v>35739</v>
      </c>
      <c r="U70" s="45">
        <f t="shared" si="57"/>
        <v>35739</v>
      </c>
      <c r="V70" s="45">
        <f t="shared" si="57"/>
        <v>35739</v>
      </c>
      <c r="W70" s="63">
        <f t="shared" si="57"/>
        <v>35739</v>
      </c>
      <c r="X70" s="41">
        <f>X19</f>
        <v>35739</v>
      </c>
      <c r="Y70" s="1353" t="s">
        <v>579</v>
      </c>
    </row>
    <row r="71" spans="2:25" ht="13.5" customHeight="1">
      <c r="B71" s="416" t="s">
        <v>402</v>
      </c>
      <c r="C71" s="1325"/>
      <c r="D71" s="1325"/>
      <c r="E71" s="1336"/>
      <c r="F71" s="21" t="s">
        <v>76</v>
      </c>
      <c r="G71" s="170" t="s">
        <v>50</v>
      </c>
      <c r="H71" s="420" t="s">
        <v>53</v>
      </c>
      <c r="I71" s="45">
        <f t="shared" ref="I71:S71" si="58">I20</f>
        <v>60</v>
      </c>
      <c r="J71" s="45">
        <f t="shared" si="58"/>
        <v>60</v>
      </c>
      <c r="K71" s="45">
        <f t="shared" si="58"/>
        <v>60</v>
      </c>
      <c r="L71" s="45">
        <f t="shared" si="58"/>
        <v>60</v>
      </c>
      <c r="M71" s="45">
        <f t="shared" si="58"/>
        <v>60</v>
      </c>
      <c r="N71" s="45">
        <f t="shared" si="58"/>
        <v>60</v>
      </c>
      <c r="O71" s="45">
        <f t="shared" si="58"/>
        <v>60</v>
      </c>
      <c r="P71" s="54">
        <f t="shared" si="58"/>
        <v>60</v>
      </c>
      <c r="Q71" s="45">
        <f t="shared" si="58"/>
        <v>60</v>
      </c>
      <c r="R71" s="45">
        <f t="shared" si="58"/>
        <v>60</v>
      </c>
      <c r="S71" s="45">
        <f t="shared" si="58"/>
        <v>60</v>
      </c>
      <c r="T71" s="45">
        <v>60</v>
      </c>
      <c r="U71" s="45">
        <v>60</v>
      </c>
      <c r="V71" s="45">
        <v>60</v>
      </c>
      <c r="W71" s="63">
        <v>61</v>
      </c>
      <c r="X71" s="41">
        <f>X20</f>
        <v>60</v>
      </c>
      <c r="Y71" s="1354"/>
    </row>
    <row r="72" spans="2:25" ht="13.5" customHeight="1">
      <c r="B72" s="416" t="s">
        <v>403</v>
      </c>
      <c r="C72" s="1325"/>
      <c r="D72" s="1325"/>
      <c r="E72" s="1336"/>
      <c r="F72" s="21" t="s">
        <v>77</v>
      </c>
      <c r="G72" s="182" t="s">
        <v>374</v>
      </c>
      <c r="H72" s="420" t="s">
        <v>166</v>
      </c>
      <c r="I72" s="25">
        <f>ROUND(+I70*I71/100,2)</f>
        <v>21443.4</v>
      </c>
      <c r="J72" s="25">
        <f t="shared" ref="J72:O72" si="59">ROUND(+J70*J71/100,2)</f>
        <v>21443.4</v>
      </c>
      <c r="K72" s="25">
        <f t="shared" si="59"/>
        <v>21443.4</v>
      </c>
      <c r="L72" s="25">
        <f t="shared" si="59"/>
        <v>21443.4</v>
      </c>
      <c r="M72" s="25">
        <f t="shared" si="59"/>
        <v>21443.4</v>
      </c>
      <c r="N72" s="25">
        <f t="shared" si="59"/>
        <v>21443.4</v>
      </c>
      <c r="O72" s="25">
        <f t="shared" si="59"/>
        <v>21443.4</v>
      </c>
      <c r="P72" s="26">
        <f>ROUND(+P70*P71/100,2)</f>
        <v>21443.4</v>
      </c>
      <c r="Q72" s="25">
        <f>ROUND(+Q70*Q71/100,2)</f>
        <v>21443.4</v>
      </c>
      <c r="R72" s="25">
        <f t="shared" ref="R72:X72" si="60">ROUND(+R70*R71/100,2)</f>
        <v>21443.4</v>
      </c>
      <c r="S72" s="25">
        <f t="shared" si="60"/>
        <v>21443.4</v>
      </c>
      <c r="T72" s="25">
        <f t="shared" si="60"/>
        <v>21443.4</v>
      </c>
      <c r="U72" s="25">
        <f t="shared" si="60"/>
        <v>21443.4</v>
      </c>
      <c r="V72" s="25">
        <f t="shared" si="60"/>
        <v>21443.4</v>
      </c>
      <c r="W72" s="64">
        <f t="shared" si="60"/>
        <v>21800.79</v>
      </c>
      <c r="X72" s="26">
        <f t="shared" si="60"/>
        <v>21443.4</v>
      </c>
      <c r="Y72" s="1354"/>
    </row>
    <row r="73" spans="2:25">
      <c r="B73" s="416" t="s">
        <v>404</v>
      </c>
      <c r="C73" s="1325"/>
      <c r="D73" s="1325"/>
      <c r="E73" s="1376" t="s">
        <v>106</v>
      </c>
      <c r="F73" s="27" t="s">
        <v>104</v>
      </c>
      <c r="G73" s="170" t="s">
        <v>50</v>
      </c>
      <c r="H73" s="420" t="s">
        <v>107</v>
      </c>
      <c r="I73" s="46">
        <f>$X$73</f>
        <v>35</v>
      </c>
      <c r="J73" s="46">
        <f t="shared" ref="J73:W73" si="61">$X$73</f>
        <v>35</v>
      </c>
      <c r="K73" s="46">
        <f t="shared" si="61"/>
        <v>35</v>
      </c>
      <c r="L73" s="46">
        <f t="shared" si="61"/>
        <v>35</v>
      </c>
      <c r="M73" s="46">
        <f t="shared" si="61"/>
        <v>35</v>
      </c>
      <c r="N73" s="46">
        <f t="shared" si="61"/>
        <v>35</v>
      </c>
      <c r="O73" s="46">
        <f t="shared" si="61"/>
        <v>35</v>
      </c>
      <c r="P73" s="46">
        <f t="shared" si="61"/>
        <v>35</v>
      </c>
      <c r="Q73" s="46">
        <f t="shared" si="61"/>
        <v>35</v>
      </c>
      <c r="R73" s="46">
        <f t="shared" si="61"/>
        <v>35</v>
      </c>
      <c r="S73" s="46">
        <f t="shared" si="61"/>
        <v>35</v>
      </c>
      <c r="T73" s="46">
        <f t="shared" si="61"/>
        <v>35</v>
      </c>
      <c r="U73" s="46">
        <f t="shared" si="61"/>
        <v>35</v>
      </c>
      <c r="V73" s="46">
        <f t="shared" si="61"/>
        <v>35</v>
      </c>
      <c r="W73" s="65">
        <f t="shared" si="61"/>
        <v>35</v>
      </c>
      <c r="X73" s="60">
        <f>X22</f>
        <v>35</v>
      </c>
      <c r="Y73" s="1354"/>
    </row>
    <row r="74" spans="2:25">
      <c r="B74" s="416" t="s">
        <v>405</v>
      </c>
      <c r="C74" s="1325"/>
      <c r="D74" s="1351"/>
      <c r="E74" s="1376"/>
      <c r="F74" s="27" t="s">
        <v>105</v>
      </c>
      <c r="G74" s="170" t="s">
        <v>50</v>
      </c>
      <c r="H74" s="420" t="s">
        <v>107</v>
      </c>
      <c r="I74" s="46">
        <f>$X$74</f>
        <v>10</v>
      </c>
      <c r="J74" s="46">
        <f t="shared" ref="J74:W74" si="62">$X$74</f>
        <v>10</v>
      </c>
      <c r="K74" s="46">
        <f t="shared" si="62"/>
        <v>10</v>
      </c>
      <c r="L74" s="46">
        <f t="shared" si="62"/>
        <v>10</v>
      </c>
      <c r="M74" s="46">
        <f t="shared" si="62"/>
        <v>10</v>
      </c>
      <c r="N74" s="46">
        <f t="shared" si="62"/>
        <v>10</v>
      </c>
      <c r="O74" s="46">
        <f t="shared" si="62"/>
        <v>10</v>
      </c>
      <c r="P74" s="46">
        <f t="shared" si="62"/>
        <v>10</v>
      </c>
      <c r="Q74" s="46">
        <f t="shared" si="62"/>
        <v>10</v>
      </c>
      <c r="R74" s="46">
        <f t="shared" si="62"/>
        <v>10</v>
      </c>
      <c r="S74" s="46">
        <f t="shared" si="62"/>
        <v>10</v>
      </c>
      <c r="T74" s="46">
        <f t="shared" si="62"/>
        <v>10</v>
      </c>
      <c r="U74" s="46">
        <f t="shared" si="62"/>
        <v>10</v>
      </c>
      <c r="V74" s="46">
        <f t="shared" si="62"/>
        <v>10</v>
      </c>
      <c r="W74" s="65">
        <f t="shared" si="62"/>
        <v>10</v>
      </c>
      <c r="X74" s="60">
        <f>X23</f>
        <v>10</v>
      </c>
      <c r="Y74" s="1354"/>
    </row>
    <row r="75" spans="2:25">
      <c r="B75" s="416" t="s">
        <v>406</v>
      </c>
      <c r="C75" s="1325"/>
      <c r="D75" s="1347" t="s">
        <v>353</v>
      </c>
      <c r="E75" s="1344" t="s">
        <v>223</v>
      </c>
      <c r="F75" s="1345"/>
      <c r="G75" s="170" t="s">
        <v>50</v>
      </c>
      <c r="H75" s="392" t="s">
        <v>53</v>
      </c>
      <c r="I75" s="46">
        <f>$X$75</f>
        <v>35</v>
      </c>
      <c r="J75" s="46">
        <f t="shared" ref="J75:R75" si="63">$X$75</f>
        <v>35</v>
      </c>
      <c r="K75" s="46">
        <f t="shared" si="63"/>
        <v>35</v>
      </c>
      <c r="L75" s="46">
        <f t="shared" si="63"/>
        <v>35</v>
      </c>
      <c r="M75" s="46">
        <f t="shared" si="63"/>
        <v>35</v>
      </c>
      <c r="N75" s="46">
        <f t="shared" si="63"/>
        <v>35</v>
      </c>
      <c r="O75" s="46">
        <f t="shared" si="63"/>
        <v>35</v>
      </c>
      <c r="P75" s="46">
        <f t="shared" si="63"/>
        <v>35</v>
      </c>
      <c r="Q75" s="46">
        <f t="shared" si="63"/>
        <v>35</v>
      </c>
      <c r="R75" s="46">
        <f t="shared" si="63"/>
        <v>35</v>
      </c>
      <c r="S75" s="46">
        <f>$X$75</f>
        <v>35</v>
      </c>
      <c r="T75" s="46">
        <f>$X$75</f>
        <v>35</v>
      </c>
      <c r="U75" s="46">
        <f>$X$75</f>
        <v>35</v>
      </c>
      <c r="V75" s="46">
        <f t="shared" ref="V75:W75" si="64">$X$75</f>
        <v>35</v>
      </c>
      <c r="W75" s="65">
        <f t="shared" si="64"/>
        <v>35</v>
      </c>
      <c r="X75" s="60">
        <f>+X24</f>
        <v>35</v>
      </c>
      <c r="Y75" s="1354"/>
    </row>
    <row r="76" spans="2:25">
      <c r="B76" s="416" t="s">
        <v>407</v>
      </c>
      <c r="C76" s="1325"/>
      <c r="D76" s="1348"/>
      <c r="E76" s="1344" t="s">
        <v>224</v>
      </c>
      <c r="F76" s="1345"/>
      <c r="G76" s="170" t="s">
        <v>50</v>
      </c>
      <c r="H76" s="392" t="s">
        <v>217</v>
      </c>
      <c r="I76" s="46">
        <f>$X$76</f>
        <v>0.93</v>
      </c>
      <c r="J76" s="46">
        <f t="shared" ref="J76:R76" si="65">$X$76</f>
        <v>0.93</v>
      </c>
      <c r="K76" s="46">
        <f t="shared" si="65"/>
        <v>0.93</v>
      </c>
      <c r="L76" s="46">
        <f t="shared" si="65"/>
        <v>0.93</v>
      </c>
      <c r="M76" s="46">
        <f t="shared" si="65"/>
        <v>0.93</v>
      </c>
      <c r="N76" s="46">
        <f t="shared" si="65"/>
        <v>0.93</v>
      </c>
      <c r="O76" s="46">
        <f t="shared" si="65"/>
        <v>0.93</v>
      </c>
      <c r="P76" s="46">
        <f t="shared" si="65"/>
        <v>0.93</v>
      </c>
      <c r="Q76" s="46">
        <f t="shared" si="65"/>
        <v>0.93</v>
      </c>
      <c r="R76" s="46">
        <f t="shared" si="65"/>
        <v>0.93</v>
      </c>
      <c r="S76" s="46">
        <f>$X$76</f>
        <v>0.93</v>
      </c>
      <c r="T76" s="46">
        <f>$X$76</f>
        <v>0.93</v>
      </c>
      <c r="U76" s="46">
        <f>$X$76</f>
        <v>0.93</v>
      </c>
      <c r="V76" s="46">
        <f t="shared" ref="V76:W76" si="66">$X$76</f>
        <v>0.93</v>
      </c>
      <c r="W76" s="65">
        <f t="shared" si="66"/>
        <v>0.93</v>
      </c>
      <c r="X76" s="60">
        <f>+X25</f>
        <v>0.93</v>
      </c>
      <c r="Y76" s="1354"/>
    </row>
    <row r="77" spans="2:25">
      <c r="B77" s="188" t="s">
        <v>408</v>
      </c>
      <c r="C77" s="1325"/>
      <c r="D77" s="1349"/>
      <c r="E77" s="168" t="s">
        <v>225</v>
      </c>
      <c r="F77" s="169"/>
      <c r="G77" s="170" t="s">
        <v>50</v>
      </c>
      <c r="H77" s="392" t="s">
        <v>53</v>
      </c>
      <c r="I77" s="46">
        <f>$X$77</f>
        <v>50</v>
      </c>
      <c r="J77" s="46">
        <f t="shared" ref="J77:R77" si="67">$X$77</f>
        <v>50</v>
      </c>
      <c r="K77" s="46">
        <f t="shared" si="67"/>
        <v>50</v>
      </c>
      <c r="L77" s="46">
        <f t="shared" si="67"/>
        <v>50</v>
      </c>
      <c r="M77" s="46">
        <f t="shared" si="67"/>
        <v>50</v>
      </c>
      <c r="N77" s="46">
        <f t="shared" si="67"/>
        <v>50</v>
      </c>
      <c r="O77" s="46">
        <f t="shared" si="67"/>
        <v>50</v>
      </c>
      <c r="P77" s="46">
        <f t="shared" si="67"/>
        <v>50</v>
      </c>
      <c r="Q77" s="46">
        <f t="shared" si="67"/>
        <v>50</v>
      </c>
      <c r="R77" s="46">
        <f t="shared" si="67"/>
        <v>50</v>
      </c>
      <c r="S77" s="46">
        <f>$X$77</f>
        <v>50</v>
      </c>
      <c r="T77" s="46">
        <f>$X$77</f>
        <v>50</v>
      </c>
      <c r="U77" s="46">
        <f>$X$77</f>
        <v>50</v>
      </c>
      <c r="V77" s="46">
        <f t="shared" ref="V77:W77" si="68">$X$77</f>
        <v>50</v>
      </c>
      <c r="W77" s="65">
        <f t="shared" si="68"/>
        <v>50</v>
      </c>
      <c r="X77" s="60">
        <f>+X26</f>
        <v>50</v>
      </c>
      <c r="Y77" s="1354"/>
    </row>
    <row r="78" spans="2:25">
      <c r="B78" s="416" t="s">
        <v>409</v>
      </c>
      <c r="C78" s="1325"/>
      <c r="D78" s="420" t="s">
        <v>30</v>
      </c>
      <c r="E78" s="1377" t="s">
        <v>78</v>
      </c>
      <c r="F78" s="1378"/>
      <c r="G78" s="170" t="s">
        <v>50</v>
      </c>
      <c r="H78" s="420" t="s">
        <v>53</v>
      </c>
      <c r="I78" s="45">
        <f>$X$78</f>
        <v>85</v>
      </c>
      <c r="J78" s="45">
        <f t="shared" ref="J78:W78" si="69">$X$78</f>
        <v>85</v>
      </c>
      <c r="K78" s="45">
        <f t="shared" si="69"/>
        <v>85</v>
      </c>
      <c r="L78" s="45">
        <f t="shared" si="69"/>
        <v>85</v>
      </c>
      <c r="M78" s="45">
        <f t="shared" si="69"/>
        <v>85</v>
      </c>
      <c r="N78" s="45">
        <f t="shared" si="69"/>
        <v>85</v>
      </c>
      <c r="O78" s="45">
        <f t="shared" si="69"/>
        <v>85</v>
      </c>
      <c r="P78" s="45">
        <f t="shared" si="69"/>
        <v>85</v>
      </c>
      <c r="Q78" s="45">
        <f t="shared" si="69"/>
        <v>85</v>
      </c>
      <c r="R78" s="45">
        <f t="shared" si="69"/>
        <v>85</v>
      </c>
      <c r="S78" s="45">
        <f t="shared" si="69"/>
        <v>85</v>
      </c>
      <c r="T78" s="45">
        <f t="shared" si="69"/>
        <v>85</v>
      </c>
      <c r="U78" s="45">
        <f t="shared" si="69"/>
        <v>85</v>
      </c>
      <c r="V78" s="45">
        <f t="shared" si="69"/>
        <v>85</v>
      </c>
      <c r="W78" s="63">
        <f t="shared" si="69"/>
        <v>85</v>
      </c>
      <c r="X78" s="41">
        <f>X27</f>
        <v>85</v>
      </c>
      <c r="Y78" s="1354"/>
    </row>
    <row r="79" spans="2:25">
      <c r="B79" s="416" t="s">
        <v>410</v>
      </c>
      <c r="C79" s="1325"/>
      <c r="D79" s="1326" t="s">
        <v>101</v>
      </c>
      <c r="E79" s="37" t="s">
        <v>102</v>
      </c>
      <c r="F79" s="38"/>
      <c r="G79" s="170" t="s">
        <v>50</v>
      </c>
      <c r="H79" s="426" t="s">
        <v>53</v>
      </c>
      <c r="I79" s="50">
        <f>$X$79</f>
        <v>25</v>
      </c>
      <c r="J79" s="50">
        <f t="shared" ref="J79:W79" si="70">$X$79</f>
        <v>25</v>
      </c>
      <c r="K79" s="50">
        <f t="shared" si="70"/>
        <v>25</v>
      </c>
      <c r="L79" s="50">
        <f t="shared" si="70"/>
        <v>25</v>
      </c>
      <c r="M79" s="50">
        <f t="shared" si="70"/>
        <v>25</v>
      </c>
      <c r="N79" s="50">
        <f t="shared" si="70"/>
        <v>25</v>
      </c>
      <c r="O79" s="50">
        <f t="shared" si="70"/>
        <v>25</v>
      </c>
      <c r="P79" s="50">
        <f t="shared" si="70"/>
        <v>25</v>
      </c>
      <c r="Q79" s="50">
        <f t="shared" si="70"/>
        <v>25</v>
      </c>
      <c r="R79" s="50">
        <f t="shared" si="70"/>
        <v>25</v>
      </c>
      <c r="S79" s="50">
        <f t="shared" si="70"/>
        <v>25</v>
      </c>
      <c r="T79" s="50">
        <f t="shared" si="70"/>
        <v>25</v>
      </c>
      <c r="U79" s="50">
        <f t="shared" si="70"/>
        <v>25</v>
      </c>
      <c r="V79" s="50">
        <f t="shared" si="70"/>
        <v>25</v>
      </c>
      <c r="W79" s="319">
        <f t="shared" si="70"/>
        <v>25</v>
      </c>
      <c r="X79" s="313">
        <f>X28</f>
        <v>25</v>
      </c>
      <c r="Y79" s="1354"/>
    </row>
    <row r="80" spans="2:25" ht="14.25" thickBot="1">
      <c r="B80" s="194" t="s">
        <v>411</v>
      </c>
      <c r="C80" s="1335"/>
      <c r="D80" s="1327"/>
      <c r="E80" s="200" t="s">
        <v>103</v>
      </c>
      <c r="F80" s="201"/>
      <c r="G80" s="178" t="s">
        <v>50</v>
      </c>
      <c r="H80" s="425" t="s">
        <v>107</v>
      </c>
      <c r="I80" s="202">
        <f>$X$80</f>
        <v>15</v>
      </c>
      <c r="J80" s="202">
        <f t="shared" ref="J80:W80" si="71">$X$80</f>
        <v>15</v>
      </c>
      <c r="K80" s="202">
        <f t="shared" si="71"/>
        <v>15</v>
      </c>
      <c r="L80" s="202">
        <f t="shared" si="71"/>
        <v>15</v>
      </c>
      <c r="M80" s="202">
        <f t="shared" si="71"/>
        <v>15</v>
      </c>
      <c r="N80" s="202">
        <f t="shared" si="71"/>
        <v>15</v>
      </c>
      <c r="O80" s="202">
        <f t="shared" si="71"/>
        <v>15</v>
      </c>
      <c r="P80" s="202">
        <f t="shared" si="71"/>
        <v>15</v>
      </c>
      <c r="Q80" s="202">
        <f t="shared" si="71"/>
        <v>15</v>
      </c>
      <c r="R80" s="202">
        <f t="shared" si="71"/>
        <v>15</v>
      </c>
      <c r="S80" s="202">
        <f t="shared" si="71"/>
        <v>15</v>
      </c>
      <c r="T80" s="202">
        <f t="shared" si="71"/>
        <v>15</v>
      </c>
      <c r="U80" s="202">
        <f t="shared" si="71"/>
        <v>15</v>
      </c>
      <c r="V80" s="202">
        <f t="shared" si="71"/>
        <v>15</v>
      </c>
      <c r="W80" s="320">
        <f t="shared" si="71"/>
        <v>15</v>
      </c>
      <c r="X80" s="314">
        <f>X29</f>
        <v>15</v>
      </c>
      <c r="Y80" s="1355"/>
    </row>
    <row r="81" spans="2:25" ht="13.5" customHeight="1">
      <c r="B81" s="262" t="s">
        <v>113</v>
      </c>
      <c r="C81" s="1334" t="s">
        <v>88</v>
      </c>
      <c r="D81" s="1334" t="s">
        <v>54</v>
      </c>
      <c r="E81" s="1352" t="s">
        <v>80</v>
      </c>
      <c r="F81" s="1352"/>
      <c r="G81" s="184" t="s">
        <v>375</v>
      </c>
      <c r="H81" s="428" t="s">
        <v>35</v>
      </c>
      <c r="I81" s="9">
        <f t="shared" ref="I81:W81" si="72">ROUND(+I64*I68/100,2)</f>
        <v>0.12</v>
      </c>
      <c r="J81" s="9">
        <f t="shared" si="72"/>
        <v>0.05</v>
      </c>
      <c r="K81" s="9">
        <f t="shared" si="72"/>
        <v>0.03</v>
      </c>
      <c r="L81" s="9">
        <f t="shared" si="72"/>
        <v>0.02</v>
      </c>
      <c r="M81" s="9">
        <f t="shared" si="72"/>
        <v>0</v>
      </c>
      <c r="N81" s="9">
        <f t="shared" si="72"/>
        <v>0.02</v>
      </c>
      <c r="O81" s="9">
        <f t="shared" si="72"/>
        <v>0</v>
      </c>
      <c r="P81" s="30">
        <f t="shared" si="72"/>
        <v>0.02</v>
      </c>
      <c r="Q81" s="9">
        <f t="shared" si="72"/>
        <v>0.08</v>
      </c>
      <c r="R81" s="9">
        <f t="shared" si="72"/>
        <v>0.05</v>
      </c>
      <c r="S81" s="9">
        <f t="shared" si="72"/>
        <v>0.85</v>
      </c>
      <c r="T81" s="9">
        <f t="shared" si="72"/>
        <v>0</v>
      </c>
      <c r="U81" s="9">
        <f t="shared" si="72"/>
        <v>0</v>
      </c>
      <c r="V81" s="30">
        <f t="shared" si="72"/>
        <v>0</v>
      </c>
      <c r="W81" s="308">
        <f t="shared" si="72"/>
        <v>0</v>
      </c>
      <c r="X81" s="30">
        <f t="shared" ref="X81:X90" si="73">+SUM(I81:V81)</f>
        <v>1.24</v>
      </c>
      <c r="Y81" s="20"/>
    </row>
    <row r="82" spans="2:25">
      <c r="B82" s="176" t="s">
        <v>114</v>
      </c>
      <c r="C82" s="1325"/>
      <c r="D82" s="1325"/>
      <c r="E82" s="1336" t="s">
        <v>81</v>
      </c>
      <c r="F82" s="418" t="s">
        <v>64</v>
      </c>
      <c r="G82" s="170" t="s">
        <v>376</v>
      </c>
      <c r="H82" s="420" t="s">
        <v>35</v>
      </c>
      <c r="I82" s="14">
        <f t="shared" ref="I82:W82" si="74">+I64-I81</f>
        <v>0.28999999999999998</v>
      </c>
      <c r="J82" s="14">
        <f t="shared" si="74"/>
        <v>9.9999999999999992E-2</v>
      </c>
      <c r="K82" s="14">
        <f t="shared" si="74"/>
        <v>7.0000000000000007E-2</v>
      </c>
      <c r="L82" s="14">
        <f t="shared" si="74"/>
        <v>0.06</v>
      </c>
      <c r="M82" s="14">
        <f t="shared" si="74"/>
        <v>0</v>
      </c>
      <c r="N82" s="14">
        <f t="shared" si="74"/>
        <v>3.0000000000000002E-2</v>
      </c>
      <c r="O82" s="14">
        <f t="shared" si="74"/>
        <v>0.01</v>
      </c>
      <c r="P82" s="15">
        <f t="shared" si="74"/>
        <v>3.0000000000000002E-2</v>
      </c>
      <c r="Q82" s="14">
        <f t="shared" si="74"/>
        <v>9.9999999999999992E-2</v>
      </c>
      <c r="R82" s="14">
        <f t="shared" si="74"/>
        <v>0.05</v>
      </c>
      <c r="S82" s="14">
        <f t="shared" si="74"/>
        <v>0.2400000000000001</v>
      </c>
      <c r="T82" s="14">
        <f t="shared" si="74"/>
        <v>0</v>
      </c>
      <c r="U82" s="14">
        <f t="shared" si="74"/>
        <v>0</v>
      </c>
      <c r="V82" s="15">
        <f t="shared" si="74"/>
        <v>0</v>
      </c>
      <c r="W82" s="210">
        <f t="shared" si="74"/>
        <v>0</v>
      </c>
      <c r="X82" s="15">
        <f t="shared" si="73"/>
        <v>0.9800000000000002</v>
      </c>
      <c r="Y82" s="17"/>
    </row>
    <row r="83" spans="2:25">
      <c r="B83" s="416" t="s">
        <v>115</v>
      </c>
      <c r="C83" s="1325"/>
      <c r="D83" s="1325"/>
      <c r="E83" s="1336"/>
      <c r="F83" s="418" t="s">
        <v>62</v>
      </c>
      <c r="G83" s="170" t="s">
        <v>377</v>
      </c>
      <c r="H83" s="420" t="s">
        <v>38</v>
      </c>
      <c r="I83" s="14">
        <f t="shared" ref="I83:W83" si="75">+I62-I81</f>
        <v>0.39</v>
      </c>
      <c r="J83" s="14">
        <f t="shared" si="75"/>
        <v>0.14000000000000001</v>
      </c>
      <c r="K83" s="14">
        <f t="shared" si="75"/>
        <v>0.1</v>
      </c>
      <c r="L83" s="14">
        <f t="shared" si="75"/>
        <v>0.08</v>
      </c>
      <c r="M83" s="14">
        <f t="shared" si="75"/>
        <v>0</v>
      </c>
      <c r="N83" s="14">
        <f t="shared" si="75"/>
        <v>3.9999999999999994E-2</v>
      </c>
      <c r="O83" s="14">
        <f t="shared" si="75"/>
        <v>0.01</v>
      </c>
      <c r="P83" s="15">
        <f t="shared" si="75"/>
        <v>6.9999999999999993E-2</v>
      </c>
      <c r="Q83" s="14">
        <f t="shared" si="75"/>
        <v>0.15000000000000002</v>
      </c>
      <c r="R83" s="14">
        <f t="shared" si="75"/>
        <v>9.0000000000000011E-2</v>
      </c>
      <c r="S83" s="14">
        <f t="shared" si="75"/>
        <v>0.39</v>
      </c>
      <c r="T83" s="14">
        <f t="shared" si="75"/>
        <v>0</v>
      </c>
      <c r="U83" s="14">
        <f t="shared" si="75"/>
        <v>0</v>
      </c>
      <c r="V83" s="15">
        <f t="shared" si="75"/>
        <v>0</v>
      </c>
      <c r="W83" s="210">
        <f t="shared" si="75"/>
        <v>0</v>
      </c>
      <c r="X83" s="15">
        <f t="shared" si="73"/>
        <v>1.46</v>
      </c>
      <c r="Y83" s="17"/>
    </row>
    <row r="84" spans="2:25" s="279" customFormat="1" ht="15.75" customHeight="1">
      <c r="B84" s="273" t="s">
        <v>116</v>
      </c>
      <c r="C84" s="1325"/>
      <c r="D84" s="1325"/>
      <c r="E84" s="1336" t="s">
        <v>72</v>
      </c>
      <c r="F84" s="427" t="s">
        <v>82</v>
      </c>
      <c r="G84" s="280" t="s">
        <v>378</v>
      </c>
      <c r="H84" s="283" t="s">
        <v>163</v>
      </c>
      <c r="I84" s="275">
        <f>ROUND(+I81*I69*1000,2)</f>
        <v>72</v>
      </c>
      <c r="J84" s="275">
        <f t="shared" ref="J84:W84" si="76">ROUND(+J81*J69*1000,2)</f>
        <v>30</v>
      </c>
      <c r="K84" s="275">
        <f t="shared" si="76"/>
        <v>18</v>
      </c>
      <c r="L84" s="275">
        <f t="shared" si="76"/>
        <v>12</v>
      </c>
      <c r="M84" s="275">
        <f t="shared" si="76"/>
        <v>0</v>
      </c>
      <c r="N84" s="275">
        <f t="shared" si="76"/>
        <v>12</v>
      </c>
      <c r="O84" s="275">
        <f t="shared" si="76"/>
        <v>0</v>
      </c>
      <c r="P84" s="281">
        <f t="shared" si="76"/>
        <v>16</v>
      </c>
      <c r="Q84" s="275">
        <f t="shared" si="76"/>
        <v>64</v>
      </c>
      <c r="R84" s="275">
        <f t="shared" si="76"/>
        <v>40</v>
      </c>
      <c r="S84" s="275">
        <f t="shared" si="76"/>
        <v>765</v>
      </c>
      <c r="T84" s="275">
        <f t="shared" si="76"/>
        <v>0</v>
      </c>
      <c r="U84" s="275">
        <f t="shared" si="76"/>
        <v>0</v>
      </c>
      <c r="V84" s="281">
        <f t="shared" si="76"/>
        <v>0</v>
      </c>
      <c r="W84" s="306">
        <f t="shared" si="76"/>
        <v>0</v>
      </c>
      <c r="X84" s="281">
        <f t="shared" si="73"/>
        <v>1029</v>
      </c>
      <c r="Y84" s="276"/>
    </row>
    <row r="85" spans="2:25">
      <c r="B85" s="416" t="s">
        <v>117</v>
      </c>
      <c r="C85" s="1325"/>
      <c r="D85" s="1325"/>
      <c r="E85" s="1336"/>
      <c r="F85" s="418" t="s">
        <v>83</v>
      </c>
      <c r="G85" s="170" t="s">
        <v>379</v>
      </c>
      <c r="H85" s="420" t="s">
        <v>90</v>
      </c>
      <c r="I85" s="14">
        <f>ROUND(+I72*I84/1000,2)</f>
        <v>1543.92</v>
      </c>
      <c r="J85" s="14">
        <f t="shared" ref="J85:W85" si="77">ROUND(+J72*J84/1000,2)</f>
        <v>643.29999999999995</v>
      </c>
      <c r="K85" s="14">
        <f t="shared" si="77"/>
        <v>385.98</v>
      </c>
      <c r="L85" s="14">
        <f t="shared" si="77"/>
        <v>257.32</v>
      </c>
      <c r="M85" s="14">
        <f t="shared" si="77"/>
        <v>0</v>
      </c>
      <c r="N85" s="14">
        <f t="shared" si="77"/>
        <v>257.32</v>
      </c>
      <c r="O85" s="14">
        <f t="shared" si="77"/>
        <v>0</v>
      </c>
      <c r="P85" s="15">
        <f t="shared" si="77"/>
        <v>343.09</v>
      </c>
      <c r="Q85" s="14">
        <f t="shared" si="77"/>
        <v>1372.38</v>
      </c>
      <c r="R85" s="14">
        <f t="shared" si="77"/>
        <v>857.74</v>
      </c>
      <c r="S85" s="14">
        <f t="shared" si="77"/>
        <v>16404.2</v>
      </c>
      <c r="T85" s="39">
        <f t="shared" si="77"/>
        <v>0</v>
      </c>
      <c r="U85" s="14">
        <f t="shared" si="77"/>
        <v>0</v>
      </c>
      <c r="V85" s="15">
        <f t="shared" si="77"/>
        <v>0</v>
      </c>
      <c r="W85" s="210">
        <f t="shared" si="77"/>
        <v>0</v>
      </c>
      <c r="X85" s="15">
        <f t="shared" si="73"/>
        <v>22065.25</v>
      </c>
      <c r="Y85" s="17"/>
    </row>
    <row r="86" spans="2:25">
      <c r="B86" s="416" t="s">
        <v>319</v>
      </c>
      <c r="C86" s="1325"/>
      <c r="D86" s="1351"/>
      <c r="E86" s="418" t="s">
        <v>106</v>
      </c>
      <c r="F86" s="418" t="s">
        <v>108</v>
      </c>
      <c r="G86" s="170" t="s">
        <v>380</v>
      </c>
      <c r="H86" s="420" t="s">
        <v>90</v>
      </c>
      <c r="I86" s="14">
        <f t="shared" ref="I86:W86" si="78">+ROUND(I61*(I73-I74)*4.186,2)</f>
        <v>313.95</v>
      </c>
      <c r="J86" s="14">
        <f t="shared" si="78"/>
        <v>125.58</v>
      </c>
      <c r="K86" s="14">
        <f t="shared" si="78"/>
        <v>87.91</v>
      </c>
      <c r="L86" s="14">
        <f t="shared" si="78"/>
        <v>62.79</v>
      </c>
      <c r="M86" s="14">
        <f t="shared" si="78"/>
        <v>12.56</v>
      </c>
      <c r="N86" s="14">
        <f t="shared" si="78"/>
        <v>37.67</v>
      </c>
      <c r="O86" s="14">
        <f t="shared" si="78"/>
        <v>62.79</v>
      </c>
      <c r="P86" s="14">
        <f t="shared" si="78"/>
        <v>376.74</v>
      </c>
      <c r="Q86" s="14">
        <f t="shared" si="78"/>
        <v>1883.7</v>
      </c>
      <c r="R86" s="14">
        <f t="shared" si="78"/>
        <v>627.9</v>
      </c>
      <c r="S86" s="14">
        <f t="shared" si="78"/>
        <v>502.32</v>
      </c>
      <c r="T86" s="14">
        <f t="shared" si="78"/>
        <v>0</v>
      </c>
      <c r="U86" s="14">
        <f t="shared" si="78"/>
        <v>0</v>
      </c>
      <c r="V86" s="14">
        <f t="shared" si="78"/>
        <v>0</v>
      </c>
      <c r="W86" s="210">
        <f t="shared" si="78"/>
        <v>0</v>
      </c>
      <c r="X86" s="15">
        <f t="shared" si="73"/>
        <v>4093.91</v>
      </c>
      <c r="Y86" s="259" t="s">
        <v>119</v>
      </c>
    </row>
    <row r="87" spans="2:25">
      <c r="B87" s="416" t="s">
        <v>320</v>
      </c>
      <c r="C87" s="1325"/>
      <c r="D87" s="1347" t="s">
        <v>354</v>
      </c>
      <c r="E87" s="1356" t="s">
        <v>355</v>
      </c>
      <c r="F87" s="1356"/>
      <c r="G87" s="170" t="s">
        <v>356</v>
      </c>
      <c r="H87" s="385" t="s">
        <v>357</v>
      </c>
      <c r="I87" s="187">
        <f>ROUND(+I85*I75/100/3.6,2)</f>
        <v>150.1</v>
      </c>
      <c r="J87" s="187">
        <f t="shared" ref="J87:W87" si="79">ROUND(+J85*J75/100/3.6,2)</f>
        <v>62.54</v>
      </c>
      <c r="K87" s="187">
        <f t="shared" si="79"/>
        <v>37.53</v>
      </c>
      <c r="L87" s="187">
        <f t="shared" si="79"/>
        <v>25.02</v>
      </c>
      <c r="M87" s="187">
        <f t="shared" si="79"/>
        <v>0</v>
      </c>
      <c r="N87" s="187">
        <f t="shared" si="79"/>
        <v>25.02</v>
      </c>
      <c r="O87" s="187">
        <f t="shared" si="79"/>
        <v>0</v>
      </c>
      <c r="P87" s="187">
        <f t="shared" si="79"/>
        <v>33.36</v>
      </c>
      <c r="Q87" s="187">
        <f t="shared" si="79"/>
        <v>133.43</v>
      </c>
      <c r="R87" s="187">
        <f t="shared" si="79"/>
        <v>83.39</v>
      </c>
      <c r="S87" s="187">
        <f t="shared" si="79"/>
        <v>1594.85</v>
      </c>
      <c r="T87" s="187">
        <f t="shared" si="79"/>
        <v>0</v>
      </c>
      <c r="U87" s="187">
        <f t="shared" si="79"/>
        <v>0</v>
      </c>
      <c r="V87" s="187">
        <f t="shared" si="79"/>
        <v>0</v>
      </c>
      <c r="W87" s="309">
        <f t="shared" si="79"/>
        <v>0</v>
      </c>
      <c r="X87" s="15">
        <f>SUM(I87:W87)</f>
        <v>2145.2399999999998</v>
      </c>
      <c r="Y87" s="415" t="s">
        <v>412</v>
      </c>
    </row>
    <row r="88" spans="2:25">
      <c r="B88" s="416" t="s">
        <v>321</v>
      </c>
      <c r="C88" s="1325"/>
      <c r="D88" s="1348"/>
      <c r="E88" s="1356" t="s">
        <v>358</v>
      </c>
      <c r="F88" s="1356"/>
      <c r="G88" s="170" t="s">
        <v>359</v>
      </c>
      <c r="H88" s="385" t="s">
        <v>357</v>
      </c>
      <c r="I88" s="187">
        <f t="shared" ref="I88:W88" si="80">ROUND(+I87*I76,2)</f>
        <v>139.59</v>
      </c>
      <c r="J88" s="187">
        <f t="shared" si="80"/>
        <v>58.16</v>
      </c>
      <c r="K88" s="187">
        <f t="shared" si="80"/>
        <v>34.9</v>
      </c>
      <c r="L88" s="187">
        <f t="shared" si="80"/>
        <v>23.27</v>
      </c>
      <c r="M88" s="187">
        <f t="shared" si="80"/>
        <v>0</v>
      </c>
      <c r="N88" s="187">
        <f t="shared" si="80"/>
        <v>23.27</v>
      </c>
      <c r="O88" s="187">
        <f t="shared" si="80"/>
        <v>0</v>
      </c>
      <c r="P88" s="187">
        <f t="shared" si="80"/>
        <v>31.02</v>
      </c>
      <c r="Q88" s="187">
        <f t="shared" si="80"/>
        <v>124.09</v>
      </c>
      <c r="R88" s="187">
        <f t="shared" si="80"/>
        <v>77.55</v>
      </c>
      <c r="S88" s="187">
        <f t="shared" si="80"/>
        <v>1483.21</v>
      </c>
      <c r="T88" s="187">
        <f t="shared" si="80"/>
        <v>0</v>
      </c>
      <c r="U88" s="187">
        <f t="shared" si="80"/>
        <v>0</v>
      </c>
      <c r="V88" s="187">
        <f t="shared" si="80"/>
        <v>0</v>
      </c>
      <c r="W88" s="309">
        <f t="shared" si="80"/>
        <v>0</v>
      </c>
      <c r="X88" s="15">
        <f>SUM(I88:W88)</f>
        <v>1995.06</v>
      </c>
      <c r="Y88" s="1342" t="str">
        <f>IF(X89&gt;=X86,"廃熱回収量が加温に必要な熱量を確保できるため,発電可能。","廃熱回収量が加温に必要な熱量を確保できないため,発電不可。")</f>
        <v>廃熱回収量が加温に必要な熱量を確保できるため,発電可能。</v>
      </c>
    </row>
    <row r="89" spans="2:25">
      <c r="B89" s="416" t="s">
        <v>322</v>
      </c>
      <c r="C89" s="1325"/>
      <c r="D89" s="1349"/>
      <c r="E89" s="1344" t="s">
        <v>360</v>
      </c>
      <c r="F89" s="1345"/>
      <c r="G89" s="170" t="s">
        <v>361</v>
      </c>
      <c r="H89" s="385" t="s">
        <v>90</v>
      </c>
      <c r="I89" s="187">
        <f>+ROUND(I85*I77/100,2)</f>
        <v>771.96</v>
      </c>
      <c r="J89" s="187">
        <f t="shared" ref="J89:W89" si="81">+ROUND(J85*J77/100,2)</f>
        <v>321.64999999999998</v>
      </c>
      <c r="K89" s="187">
        <f t="shared" si="81"/>
        <v>192.99</v>
      </c>
      <c r="L89" s="187">
        <f t="shared" si="81"/>
        <v>128.66</v>
      </c>
      <c r="M89" s="187">
        <f t="shared" si="81"/>
        <v>0</v>
      </c>
      <c r="N89" s="187">
        <f t="shared" si="81"/>
        <v>128.66</v>
      </c>
      <c r="O89" s="187">
        <f t="shared" si="81"/>
        <v>0</v>
      </c>
      <c r="P89" s="187">
        <f t="shared" si="81"/>
        <v>171.55</v>
      </c>
      <c r="Q89" s="187">
        <f t="shared" si="81"/>
        <v>686.19</v>
      </c>
      <c r="R89" s="187">
        <f t="shared" si="81"/>
        <v>428.87</v>
      </c>
      <c r="S89" s="187">
        <f t="shared" si="81"/>
        <v>8202.1</v>
      </c>
      <c r="T89" s="187">
        <f t="shared" si="81"/>
        <v>0</v>
      </c>
      <c r="U89" s="187">
        <f t="shared" si="81"/>
        <v>0</v>
      </c>
      <c r="V89" s="187">
        <f t="shared" si="81"/>
        <v>0</v>
      </c>
      <c r="W89" s="309">
        <f t="shared" si="81"/>
        <v>0</v>
      </c>
      <c r="X89" s="15">
        <f>SUM(I89:W89)</f>
        <v>11032.630000000001</v>
      </c>
      <c r="Y89" s="1343"/>
    </row>
    <row r="90" spans="2:25">
      <c r="B90" s="416" t="s">
        <v>323</v>
      </c>
      <c r="C90" s="1325"/>
      <c r="D90" s="1308" t="s">
        <v>30</v>
      </c>
      <c r="E90" s="1336" t="s">
        <v>29</v>
      </c>
      <c r="F90" s="1336"/>
      <c r="G90" s="170" t="str">
        <f>"=c"</f>
        <v>=c</v>
      </c>
      <c r="H90" s="420" t="s">
        <v>0</v>
      </c>
      <c r="I90" s="14">
        <f t="shared" ref="I90:W90" si="82">+I61</f>
        <v>3</v>
      </c>
      <c r="J90" s="14">
        <f t="shared" si="82"/>
        <v>1.2</v>
      </c>
      <c r="K90" s="14">
        <f t="shared" si="82"/>
        <v>0.84</v>
      </c>
      <c r="L90" s="14">
        <f t="shared" si="82"/>
        <v>0.6</v>
      </c>
      <c r="M90" s="14">
        <f t="shared" si="82"/>
        <v>0.12</v>
      </c>
      <c r="N90" s="14">
        <f t="shared" si="82"/>
        <v>0.36</v>
      </c>
      <c r="O90" s="14">
        <f t="shared" si="82"/>
        <v>0.6</v>
      </c>
      <c r="P90" s="14">
        <f t="shared" si="82"/>
        <v>3.6</v>
      </c>
      <c r="Q90" s="14">
        <f t="shared" si="82"/>
        <v>18</v>
      </c>
      <c r="R90" s="14">
        <f t="shared" si="82"/>
        <v>6</v>
      </c>
      <c r="S90" s="14">
        <f t="shared" si="82"/>
        <v>4.8</v>
      </c>
      <c r="T90" s="14">
        <f t="shared" si="82"/>
        <v>0</v>
      </c>
      <c r="U90" s="14">
        <f t="shared" si="82"/>
        <v>0</v>
      </c>
      <c r="V90" s="14">
        <f t="shared" si="82"/>
        <v>0</v>
      </c>
      <c r="W90" s="210">
        <f t="shared" si="82"/>
        <v>0</v>
      </c>
      <c r="X90" s="15">
        <f t="shared" si="73"/>
        <v>39.119999999999997</v>
      </c>
      <c r="Y90" s="259"/>
    </row>
    <row r="91" spans="2:25">
      <c r="B91" s="416" t="s">
        <v>324</v>
      </c>
      <c r="C91" s="1325"/>
      <c r="D91" s="1308"/>
      <c r="E91" s="1336" t="s">
        <v>84</v>
      </c>
      <c r="F91" s="1336"/>
      <c r="G91" s="170" t="s">
        <v>381</v>
      </c>
      <c r="H91" s="420" t="s">
        <v>53</v>
      </c>
      <c r="I91" s="14">
        <f>IF(I90=0,0,ROUND(+I83/I90*100,2))</f>
        <v>13</v>
      </c>
      <c r="J91" s="14">
        <f t="shared" ref="J91:X91" si="83">IF(J90=0,0,ROUND(+J83/J90*100,2))</f>
        <v>11.67</v>
      </c>
      <c r="K91" s="14">
        <f t="shared" si="83"/>
        <v>11.9</v>
      </c>
      <c r="L91" s="14">
        <f t="shared" si="83"/>
        <v>13.33</v>
      </c>
      <c r="M91" s="14">
        <f t="shared" si="83"/>
        <v>0</v>
      </c>
      <c r="N91" s="14">
        <f t="shared" si="83"/>
        <v>11.11</v>
      </c>
      <c r="O91" s="14">
        <f t="shared" si="83"/>
        <v>1.67</v>
      </c>
      <c r="P91" s="14">
        <f t="shared" si="83"/>
        <v>1.94</v>
      </c>
      <c r="Q91" s="14">
        <f t="shared" si="83"/>
        <v>0.83</v>
      </c>
      <c r="R91" s="14">
        <f t="shared" si="83"/>
        <v>1.5</v>
      </c>
      <c r="S91" s="14">
        <f t="shared" si="83"/>
        <v>8.1300000000000008</v>
      </c>
      <c r="T91" s="14">
        <f t="shared" si="83"/>
        <v>0</v>
      </c>
      <c r="U91" s="14">
        <f t="shared" si="83"/>
        <v>0</v>
      </c>
      <c r="V91" s="14">
        <f t="shared" si="83"/>
        <v>0</v>
      </c>
      <c r="W91" s="210">
        <f t="shared" si="83"/>
        <v>0</v>
      </c>
      <c r="X91" s="15">
        <f t="shared" si="83"/>
        <v>3.73</v>
      </c>
      <c r="Y91" s="259"/>
    </row>
    <row r="92" spans="2:25">
      <c r="B92" s="416" t="s">
        <v>325</v>
      </c>
      <c r="C92" s="1325"/>
      <c r="D92" s="1308"/>
      <c r="E92" s="1336" t="s">
        <v>85</v>
      </c>
      <c r="F92" s="1336"/>
      <c r="G92" s="170" t="s">
        <v>382</v>
      </c>
      <c r="H92" s="420" t="s">
        <v>0</v>
      </c>
      <c r="I92" s="14">
        <f>ROUND(+I83/(1-I78/100),2)</f>
        <v>2.6</v>
      </c>
      <c r="J92" s="14">
        <f t="shared" ref="J92:W92" si="84">ROUND(+J83/(1-J78/100),2)</f>
        <v>0.93</v>
      </c>
      <c r="K92" s="14">
        <f t="shared" si="84"/>
        <v>0.67</v>
      </c>
      <c r="L92" s="14">
        <f t="shared" si="84"/>
        <v>0.53</v>
      </c>
      <c r="M92" s="14">
        <f t="shared" si="84"/>
        <v>0</v>
      </c>
      <c r="N92" s="14">
        <f t="shared" si="84"/>
        <v>0.27</v>
      </c>
      <c r="O92" s="14">
        <f t="shared" si="84"/>
        <v>7.0000000000000007E-2</v>
      </c>
      <c r="P92" s="14">
        <f t="shared" si="84"/>
        <v>0.47</v>
      </c>
      <c r="Q92" s="14">
        <f t="shared" si="84"/>
        <v>1</v>
      </c>
      <c r="R92" s="14">
        <f t="shared" si="84"/>
        <v>0.6</v>
      </c>
      <c r="S92" s="14">
        <f t="shared" si="84"/>
        <v>2.6</v>
      </c>
      <c r="T92" s="14">
        <f t="shared" si="84"/>
        <v>0</v>
      </c>
      <c r="U92" s="14">
        <f t="shared" si="84"/>
        <v>0</v>
      </c>
      <c r="V92" s="14">
        <f t="shared" si="84"/>
        <v>0</v>
      </c>
      <c r="W92" s="210">
        <f t="shared" si="84"/>
        <v>0</v>
      </c>
      <c r="X92" s="15">
        <f t="shared" ref="X92:X98" si="85">+SUM(I92:V92)</f>
        <v>9.74</v>
      </c>
      <c r="Y92" s="259"/>
    </row>
    <row r="93" spans="2:25" ht="13.5" customHeight="1">
      <c r="B93" s="416" t="s">
        <v>326</v>
      </c>
      <c r="C93" s="1325"/>
      <c r="D93" s="1308"/>
      <c r="E93" s="1336" t="s">
        <v>86</v>
      </c>
      <c r="F93" s="1336"/>
      <c r="G93" s="170" t="str">
        <f>"=③"</f>
        <v>=③</v>
      </c>
      <c r="H93" s="420" t="s">
        <v>38</v>
      </c>
      <c r="I93" s="14">
        <f>+I83</f>
        <v>0.39</v>
      </c>
      <c r="J93" s="14">
        <f t="shared" ref="J93:W93" si="86">+J83</f>
        <v>0.14000000000000001</v>
      </c>
      <c r="K93" s="14">
        <f t="shared" si="86"/>
        <v>0.1</v>
      </c>
      <c r="L93" s="14">
        <f t="shared" si="86"/>
        <v>0.08</v>
      </c>
      <c r="M93" s="14">
        <f t="shared" si="86"/>
        <v>0</v>
      </c>
      <c r="N93" s="14">
        <f t="shared" si="86"/>
        <v>3.9999999999999994E-2</v>
      </c>
      <c r="O93" s="14">
        <f t="shared" si="86"/>
        <v>0.01</v>
      </c>
      <c r="P93" s="14">
        <f t="shared" si="86"/>
        <v>6.9999999999999993E-2</v>
      </c>
      <c r="Q93" s="14">
        <f t="shared" si="86"/>
        <v>0.15000000000000002</v>
      </c>
      <c r="R93" s="14">
        <f t="shared" si="86"/>
        <v>9.0000000000000011E-2</v>
      </c>
      <c r="S93" s="14">
        <f t="shared" si="86"/>
        <v>0.39</v>
      </c>
      <c r="T93" s="14">
        <f t="shared" si="86"/>
        <v>0</v>
      </c>
      <c r="U93" s="14">
        <f t="shared" si="86"/>
        <v>0</v>
      </c>
      <c r="V93" s="14">
        <f t="shared" si="86"/>
        <v>0</v>
      </c>
      <c r="W93" s="210">
        <f t="shared" si="86"/>
        <v>0</v>
      </c>
      <c r="X93" s="15">
        <f t="shared" si="85"/>
        <v>1.46</v>
      </c>
      <c r="Y93" s="259"/>
    </row>
    <row r="94" spans="2:25" ht="15.75">
      <c r="B94" s="416" t="s">
        <v>327</v>
      </c>
      <c r="C94" s="1325"/>
      <c r="D94" s="1308"/>
      <c r="E94" s="1336" t="s">
        <v>87</v>
      </c>
      <c r="F94" s="1336"/>
      <c r="G94" s="185" t="s">
        <v>383</v>
      </c>
      <c r="H94" s="420" t="s">
        <v>164</v>
      </c>
      <c r="I94" s="51">
        <f t="shared" ref="I94:W94" si="87">+I61-I92</f>
        <v>0.39999999999999991</v>
      </c>
      <c r="J94" s="51">
        <f t="shared" si="87"/>
        <v>0.26999999999999991</v>
      </c>
      <c r="K94" s="51">
        <f t="shared" si="87"/>
        <v>0.16999999999999993</v>
      </c>
      <c r="L94" s="51">
        <f t="shared" si="87"/>
        <v>6.9999999999999951E-2</v>
      </c>
      <c r="M94" s="51">
        <f t="shared" si="87"/>
        <v>0.12</v>
      </c>
      <c r="N94" s="51">
        <f t="shared" si="87"/>
        <v>8.9999999999999969E-2</v>
      </c>
      <c r="O94" s="51">
        <f t="shared" si="87"/>
        <v>0.53</v>
      </c>
      <c r="P94" s="31">
        <f t="shared" si="87"/>
        <v>3.13</v>
      </c>
      <c r="Q94" s="31">
        <f t="shared" si="87"/>
        <v>17</v>
      </c>
      <c r="R94" s="31">
        <f t="shared" si="87"/>
        <v>5.4</v>
      </c>
      <c r="S94" s="31">
        <f t="shared" si="87"/>
        <v>2.1999999999999997</v>
      </c>
      <c r="T94" s="14">
        <f t="shared" si="87"/>
        <v>0</v>
      </c>
      <c r="U94" s="14">
        <f t="shared" si="87"/>
        <v>0</v>
      </c>
      <c r="V94" s="14">
        <f t="shared" si="87"/>
        <v>0</v>
      </c>
      <c r="W94" s="210">
        <f t="shared" si="87"/>
        <v>0</v>
      </c>
      <c r="X94" s="15">
        <f t="shared" si="85"/>
        <v>29.38</v>
      </c>
      <c r="Y94" s="259"/>
    </row>
    <row r="95" spans="2:25">
      <c r="B95" s="176" t="s">
        <v>337</v>
      </c>
      <c r="C95" s="1325"/>
      <c r="D95" s="1308" t="s">
        <v>101</v>
      </c>
      <c r="E95" s="1330" t="s">
        <v>109</v>
      </c>
      <c r="F95" s="1330"/>
      <c r="G95" s="170" t="s">
        <v>384</v>
      </c>
      <c r="H95" s="426" t="s">
        <v>0</v>
      </c>
      <c r="I95" s="11">
        <f>+ROUND(I93/(1-I79/100),2)</f>
        <v>0.52</v>
      </c>
      <c r="J95" s="11">
        <f t="shared" ref="J95:W95" si="88">+ROUND(J93/(1-J79/100),2)</f>
        <v>0.19</v>
      </c>
      <c r="K95" s="11">
        <f t="shared" si="88"/>
        <v>0.13</v>
      </c>
      <c r="L95" s="11">
        <f t="shared" si="88"/>
        <v>0.11</v>
      </c>
      <c r="M95" s="11">
        <f t="shared" si="88"/>
        <v>0</v>
      </c>
      <c r="N95" s="11">
        <f t="shared" si="88"/>
        <v>0.05</v>
      </c>
      <c r="O95" s="11">
        <f t="shared" si="88"/>
        <v>0.01</v>
      </c>
      <c r="P95" s="10">
        <f t="shared" si="88"/>
        <v>0.09</v>
      </c>
      <c r="Q95" s="11">
        <f t="shared" si="88"/>
        <v>0.2</v>
      </c>
      <c r="R95" s="11">
        <f t="shared" si="88"/>
        <v>0.12</v>
      </c>
      <c r="S95" s="12">
        <f t="shared" si="88"/>
        <v>0.52</v>
      </c>
      <c r="T95" s="12">
        <f t="shared" si="88"/>
        <v>0</v>
      </c>
      <c r="U95" s="12">
        <f t="shared" si="88"/>
        <v>0</v>
      </c>
      <c r="V95" s="12">
        <f t="shared" si="88"/>
        <v>0</v>
      </c>
      <c r="W95" s="211">
        <f t="shared" si="88"/>
        <v>0</v>
      </c>
      <c r="X95" s="10">
        <f t="shared" si="85"/>
        <v>1.94</v>
      </c>
      <c r="Y95" s="260"/>
    </row>
    <row r="96" spans="2:25">
      <c r="B96" s="416" t="s">
        <v>362</v>
      </c>
      <c r="C96" s="1325"/>
      <c r="D96" s="1308"/>
      <c r="E96" s="1336" t="s">
        <v>110</v>
      </c>
      <c r="F96" s="1336"/>
      <c r="G96" s="170" t="str">
        <f>"=⑬"</f>
        <v>=⑬</v>
      </c>
      <c r="H96" s="420" t="s">
        <v>38</v>
      </c>
      <c r="I96" s="14">
        <f t="shared" ref="I96:W96" si="89">+I93</f>
        <v>0.39</v>
      </c>
      <c r="J96" s="14">
        <f t="shared" si="89"/>
        <v>0.14000000000000001</v>
      </c>
      <c r="K96" s="14">
        <f t="shared" si="89"/>
        <v>0.1</v>
      </c>
      <c r="L96" s="14">
        <f t="shared" si="89"/>
        <v>0.08</v>
      </c>
      <c r="M96" s="14">
        <f t="shared" si="89"/>
        <v>0</v>
      </c>
      <c r="N96" s="14">
        <f t="shared" si="89"/>
        <v>3.9999999999999994E-2</v>
      </c>
      <c r="O96" s="14">
        <f t="shared" si="89"/>
        <v>0.01</v>
      </c>
      <c r="P96" s="15">
        <f t="shared" si="89"/>
        <v>6.9999999999999993E-2</v>
      </c>
      <c r="Q96" s="14">
        <f t="shared" si="89"/>
        <v>0.15000000000000002</v>
      </c>
      <c r="R96" s="14">
        <f t="shared" si="89"/>
        <v>9.0000000000000011E-2</v>
      </c>
      <c r="S96" s="14">
        <f t="shared" si="89"/>
        <v>0.39</v>
      </c>
      <c r="T96" s="14">
        <f t="shared" si="89"/>
        <v>0</v>
      </c>
      <c r="U96" s="39">
        <f t="shared" si="89"/>
        <v>0</v>
      </c>
      <c r="V96" s="14">
        <f t="shared" si="89"/>
        <v>0</v>
      </c>
      <c r="W96" s="210">
        <f t="shared" si="89"/>
        <v>0</v>
      </c>
      <c r="X96" s="15">
        <f t="shared" si="85"/>
        <v>1.46</v>
      </c>
      <c r="Y96" s="259"/>
    </row>
    <row r="97" spans="2:25">
      <c r="B97" s="416" t="s">
        <v>363</v>
      </c>
      <c r="C97" s="1325"/>
      <c r="D97" s="1308"/>
      <c r="E97" s="1336" t="s">
        <v>111</v>
      </c>
      <c r="F97" s="1336"/>
      <c r="G97" s="170" t="s">
        <v>385</v>
      </c>
      <c r="H97" s="420" t="s">
        <v>0</v>
      </c>
      <c r="I97" s="14">
        <f t="shared" ref="I97:W97" si="90">+I92-I95</f>
        <v>2.08</v>
      </c>
      <c r="J97" s="14">
        <f t="shared" si="90"/>
        <v>0.74</v>
      </c>
      <c r="K97" s="14">
        <f t="shared" si="90"/>
        <v>0.54</v>
      </c>
      <c r="L97" s="14">
        <f t="shared" si="90"/>
        <v>0.42000000000000004</v>
      </c>
      <c r="M97" s="14">
        <f t="shared" si="90"/>
        <v>0</v>
      </c>
      <c r="N97" s="14">
        <f t="shared" si="90"/>
        <v>0.22000000000000003</v>
      </c>
      <c r="O97" s="14">
        <f t="shared" si="90"/>
        <v>6.0000000000000005E-2</v>
      </c>
      <c r="P97" s="15">
        <f t="shared" si="90"/>
        <v>0.38</v>
      </c>
      <c r="Q97" s="14">
        <f t="shared" si="90"/>
        <v>0.8</v>
      </c>
      <c r="R97" s="14">
        <f t="shared" si="90"/>
        <v>0.48</v>
      </c>
      <c r="S97" s="16">
        <f t="shared" si="90"/>
        <v>2.08</v>
      </c>
      <c r="T97" s="16">
        <f t="shared" si="90"/>
        <v>0</v>
      </c>
      <c r="U97" s="16">
        <f t="shared" si="90"/>
        <v>0</v>
      </c>
      <c r="V97" s="16">
        <f t="shared" si="90"/>
        <v>0</v>
      </c>
      <c r="W97" s="210">
        <f t="shared" si="90"/>
        <v>0</v>
      </c>
      <c r="X97" s="15">
        <f t="shared" si="85"/>
        <v>7.7999999999999989</v>
      </c>
      <c r="Y97" s="259"/>
    </row>
    <row r="98" spans="2:25" ht="40.5">
      <c r="B98" s="416" t="s">
        <v>364</v>
      </c>
      <c r="C98" s="1325"/>
      <c r="D98" s="1308"/>
      <c r="E98" s="1336" t="s">
        <v>108</v>
      </c>
      <c r="F98" s="1336"/>
      <c r="G98" s="524" t="s">
        <v>386</v>
      </c>
      <c r="H98" s="420" t="s">
        <v>90</v>
      </c>
      <c r="I98" s="14">
        <f>+ROUND((100-I80)*(I92-I96)*4.186+I97*2258+(100-I80)*I96*0.3*4.184,2)</f>
        <v>5524.59</v>
      </c>
      <c r="J98" s="14">
        <f t="shared" ref="J98:W98" si="91">+ROUND((100-J80)*(J92-J96)*4.186+J97*2258+(100-J80)*J96*0.3*4.184,2)</f>
        <v>1966.95</v>
      </c>
      <c r="K98" s="14">
        <f t="shared" si="91"/>
        <v>1432.8</v>
      </c>
      <c r="L98" s="14">
        <f t="shared" si="91"/>
        <v>1117.01</v>
      </c>
      <c r="M98" s="14">
        <f t="shared" si="91"/>
        <v>0</v>
      </c>
      <c r="N98" s="14">
        <f t="shared" si="91"/>
        <v>582.86</v>
      </c>
      <c r="O98" s="14">
        <f t="shared" si="91"/>
        <v>157.9</v>
      </c>
      <c r="P98" s="15">
        <f t="shared" si="91"/>
        <v>1007.83</v>
      </c>
      <c r="Q98" s="14">
        <f t="shared" si="91"/>
        <v>2124.84</v>
      </c>
      <c r="R98" s="14">
        <f t="shared" si="91"/>
        <v>1274.9100000000001</v>
      </c>
      <c r="S98" s="16">
        <f t="shared" si="91"/>
        <v>5524.59</v>
      </c>
      <c r="T98" s="16">
        <f t="shared" si="91"/>
        <v>0</v>
      </c>
      <c r="U98" s="16">
        <f t="shared" si="91"/>
        <v>0</v>
      </c>
      <c r="V98" s="16">
        <f t="shared" si="91"/>
        <v>0</v>
      </c>
      <c r="W98" s="210">
        <f t="shared" si="91"/>
        <v>0</v>
      </c>
      <c r="X98" s="15">
        <f t="shared" si="85"/>
        <v>20714.28</v>
      </c>
      <c r="Y98" s="261" t="s">
        <v>112</v>
      </c>
    </row>
    <row r="99" spans="2:25">
      <c r="B99" s="188" t="s">
        <v>365</v>
      </c>
      <c r="C99" s="1325"/>
      <c r="D99" s="1347" t="s">
        <v>127</v>
      </c>
      <c r="E99" s="1337" t="s">
        <v>128</v>
      </c>
      <c r="F99" s="177" t="s">
        <v>369</v>
      </c>
      <c r="G99" s="178" t="s">
        <v>387</v>
      </c>
      <c r="H99" s="1221" t="s">
        <v>129</v>
      </c>
      <c r="I99" s="207">
        <f t="shared" ref="I99:W99" si="92">IFERROR(IF(I85&gt;I86,0,+ROUND((I86-I85)/J99,0)),0)</f>
        <v>0</v>
      </c>
      <c r="J99" s="207">
        <f t="shared" si="92"/>
        <v>0</v>
      </c>
      <c r="K99" s="207">
        <f t="shared" si="92"/>
        <v>0</v>
      </c>
      <c r="L99" s="207">
        <f t="shared" si="92"/>
        <v>0</v>
      </c>
      <c r="M99" s="207">
        <f t="shared" si="92"/>
        <v>0</v>
      </c>
      <c r="N99" s="207">
        <f t="shared" si="92"/>
        <v>0</v>
      </c>
      <c r="O99" s="207">
        <f t="shared" si="92"/>
        <v>0</v>
      </c>
      <c r="P99" s="207">
        <f t="shared" si="92"/>
        <v>0</v>
      </c>
      <c r="Q99" s="207">
        <f t="shared" si="92"/>
        <v>0</v>
      </c>
      <c r="R99" s="207">
        <f t="shared" si="92"/>
        <v>0</v>
      </c>
      <c r="S99" s="207">
        <f t="shared" si="92"/>
        <v>0</v>
      </c>
      <c r="T99" s="207">
        <f t="shared" si="92"/>
        <v>0</v>
      </c>
      <c r="U99" s="207">
        <f t="shared" si="92"/>
        <v>0</v>
      </c>
      <c r="V99" s="207">
        <f t="shared" si="92"/>
        <v>0</v>
      </c>
      <c r="W99" s="310">
        <f t="shared" si="92"/>
        <v>0</v>
      </c>
      <c r="X99" s="207">
        <f>IFERROR(IF(X85&gt;X86,0,+ROUND((X86-X85)/Y99,0)),0)</f>
        <v>0</v>
      </c>
      <c r="Y99" s="195">
        <v>36.700000000000003</v>
      </c>
    </row>
    <row r="100" spans="2:25">
      <c r="B100" s="188" t="s">
        <v>366</v>
      </c>
      <c r="C100" s="1325"/>
      <c r="D100" s="1348"/>
      <c r="E100" s="1338"/>
      <c r="F100" s="179" t="s">
        <v>370</v>
      </c>
      <c r="G100" s="178" t="s">
        <v>388</v>
      </c>
      <c r="H100" s="1221"/>
      <c r="I100" s="207">
        <f t="shared" ref="I100:W100" si="93">IFERROR(IF(I85&gt;(I86+I98),0,ROUND((I86+I98-I85)/J99,0)),0)</f>
        <v>0</v>
      </c>
      <c r="J100" s="207">
        <f t="shared" si="93"/>
        <v>0</v>
      </c>
      <c r="K100" s="207">
        <f t="shared" si="93"/>
        <v>0</v>
      </c>
      <c r="L100" s="207">
        <f>IFERROR(IF(L85&gt;(L86+L98),0,ROUND((L86+L98-L85)/M99,0)),0)</f>
        <v>0</v>
      </c>
      <c r="M100" s="207">
        <f t="shared" si="93"/>
        <v>0</v>
      </c>
      <c r="N100" s="207">
        <f t="shared" si="93"/>
        <v>0</v>
      </c>
      <c r="O100" s="207">
        <f t="shared" si="93"/>
        <v>0</v>
      </c>
      <c r="P100" s="207">
        <f t="shared" si="93"/>
        <v>0</v>
      </c>
      <c r="Q100" s="207">
        <f t="shared" si="93"/>
        <v>0</v>
      </c>
      <c r="R100" s="207">
        <f t="shared" si="93"/>
        <v>0</v>
      </c>
      <c r="S100" s="207">
        <f t="shared" si="93"/>
        <v>0</v>
      </c>
      <c r="T100" s="207">
        <f t="shared" si="93"/>
        <v>0</v>
      </c>
      <c r="U100" s="207">
        <f t="shared" si="93"/>
        <v>0</v>
      </c>
      <c r="V100" s="207">
        <f t="shared" si="93"/>
        <v>0</v>
      </c>
      <c r="W100" s="310">
        <f t="shared" si="93"/>
        <v>0</v>
      </c>
      <c r="X100" s="207">
        <f>IFERROR(IF(X85&gt;(X86+X98),0,ROUND((X86+X98-X85)/Y99,0)),0)</f>
        <v>75</v>
      </c>
      <c r="Y100" s="415"/>
    </row>
    <row r="101" spans="2:25">
      <c r="B101" s="188" t="s">
        <v>367</v>
      </c>
      <c r="C101" s="1325"/>
      <c r="D101" s="1348"/>
      <c r="E101" s="1338"/>
      <c r="F101" s="179" t="s">
        <v>371</v>
      </c>
      <c r="G101" s="178" t="s">
        <v>389</v>
      </c>
      <c r="H101" s="1221"/>
      <c r="I101" s="208">
        <f t="shared" ref="I101:W101" si="94">IFERROR(IF(I89&gt;=I86,IF((I86-I85-I89)/J99&lt;0,0,+ROUND((I86-I85-I89)/J99,0)),"-"),0)</f>
        <v>0</v>
      </c>
      <c r="J101" s="208">
        <f t="shared" si="94"/>
        <v>0</v>
      </c>
      <c r="K101" s="208">
        <f t="shared" si="94"/>
        <v>0</v>
      </c>
      <c r="L101" s="208">
        <f t="shared" si="94"/>
        <v>0</v>
      </c>
      <c r="M101" s="208" t="str">
        <f t="shared" si="94"/>
        <v>-</v>
      </c>
      <c r="N101" s="208">
        <f t="shared" si="94"/>
        <v>0</v>
      </c>
      <c r="O101" s="208" t="str">
        <f t="shared" si="94"/>
        <v>-</v>
      </c>
      <c r="P101" s="208" t="str">
        <f t="shared" si="94"/>
        <v>-</v>
      </c>
      <c r="Q101" s="208" t="str">
        <f t="shared" si="94"/>
        <v>-</v>
      </c>
      <c r="R101" s="208" t="str">
        <f t="shared" si="94"/>
        <v>-</v>
      </c>
      <c r="S101" s="208">
        <f t="shared" si="94"/>
        <v>0</v>
      </c>
      <c r="T101" s="208">
        <f t="shared" si="94"/>
        <v>0</v>
      </c>
      <c r="U101" s="208">
        <f t="shared" si="94"/>
        <v>0</v>
      </c>
      <c r="V101" s="208">
        <f t="shared" si="94"/>
        <v>0</v>
      </c>
      <c r="W101" s="311">
        <f t="shared" si="94"/>
        <v>0</v>
      </c>
      <c r="X101" s="208">
        <f>IFERROR(IF(X89&gt;=X86,IF((X86-X85-X89)/Y99&lt;0,0,+ROUND((X86-X85-X89)/Y99,0)),"-"),0)</f>
        <v>0</v>
      </c>
      <c r="Y101" s="415"/>
    </row>
    <row r="102" spans="2:25" ht="14.25" thickBot="1">
      <c r="B102" s="305" t="s">
        <v>368</v>
      </c>
      <c r="C102" s="1335"/>
      <c r="D102" s="1357"/>
      <c r="E102" s="1358"/>
      <c r="F102" s="180" t="s">
        <v>372</v>
      </c>
      <c r="G102" s="181" t="s">
        <v>373</v>
      </c>
      <c r="H102" s="1379"/>
      <c r="I102" s="209">
        <f t="shared" ref="I102:W102" si="95">IFERROR(IF(I89&gt;=I86,ROUND((I86+I98-I89)/J99,0),"-"),0)</f>
        <v>0</v>
      </c>
      <c r="J102" s="209">
        <f t="shared" si="95"/>
        <v>0</v>
      </c>
      <c r="K102" s="209">
        <f t="shared" si="95"/>
        <v>0</v>
      </c>
      <c r="L102" s="209">
        <f t="shared" si="95"/>
        <v>0</v>
      </c>
      <c r="M102" s="209" t="str">
        <f t="shared" si="95"/>
        <v>-</v>
      </c>
      <c r="N102" s="209">
        <f t="shared" si="95"/>
        <v>0</v>
      </c>
      <c r="O102" s="209" t="str">
        <f t="shared" si="95"/>
        <v>-</v>
      </c>
      <c r="P102" s="209" t="str">
        <f t="shared" si="95"/>
        <v>-</v>
      </c>
      <c r="Q102" s="209" t="str">
        <f t="shared" si="95"/>
        <v>-</v>
      </c>
      <c r="R102" s="209" t="str">
        <f t="shared" si="95"/>
        <v>-</v>
      </c>
      <c r="S102" s="209">
        <f t="shared" si="95"/>
        <v>0</v>
      </c>
      <c r="T102" s="209">
        <f t="shared" si="95"/>
        <v>0</v>
      </c>
      <c r="U102" s="209">
        <f t="shared" si="95"/>
        <v>0</v>
      </c>
      <c r="V102" s="209">
        <f t="shared" si="95"/>
        <v>0</v>
      </c>
      <c r="W102" s="312">
        <f t="shared" si="95"/>
        <v>0</v>
      </c>
      <c r="X102" s="209">
        <f>IFERROR(IF(X89&gt;=X86,ROUND((X86+X98-X89)/Y99,0),"-"),0)</f>
        <v>375</v>
      </c>
      <c r="Y102" s="197"/>
    </row>
    <row r="110" spans="2:25" ht="30.6" customHeight="1"/>
    <row r="111" spans="2:25" ht="30.6" customHeight="1"/>
  </sheetData>
  <mergeCells count="156">
    <mergeCell ref="Y70:Y80"/>
    <mergeCell ref="H99:H102"/>
    <mergeCell ref="Y88:Y89"/>
    <mergeCell ref="E89:F89"/>
    <mergeCell ref="D90:D94"/>
    <mergeCell ref="E90:F90"/>
    <mergeCell ref="E91:F91"/>
    <mergeCell ref="E92:F92"/>
    <mergeCell ref="E93:F93"/>
    <mergeCell ref="E94:F94"/>
    <mergeCell ref="C81:C102"/>
    <mergeCell ref="D81:D86"/>
    <mergeCell ref="E81:F81"/>
    <mergeCell ref="E82:E83"/>
    <mergeCell ref="E84:E85"/>
    <mergeCell ref="D87:D89"/>
    <mergeCell ref="E87:F87"/>
    <mergeCell ref="E88:F88"/>
    <mergeCell ref="D95:D98"/>
    <mergeCell ref="E95:F95"/>
    <mergeCell ref="E96:F96"/>
    <mergeCell ref="E97:F97"/>
    <mergeCell ref="E98:F98"/>
    <mergeCell ref="D99:D102"/>
    <mergeCell ref="E99:E102"/>
    <mergeCell ref="C65:C80"/>
    <mergeCell ref="D66:D74"/>
    <mergeCell ref="E66:E67"/>
    <mergeCell ref="E68:E72"/>
    <mergeCell ref="E73:E74"/>
    <mergeCell ref="D75:D77"/>
    <mergeCell ref="E75:F75"/>
    <mergeCell ref="E76:F76"/>
    <mergeCell ref="E78:F78"/>
    <mergeCell ref="D79:D80"/>
    <mergeCell ref="W57:W58"/>
    <mergeCell ref="C59:C64"/>
    <mergeCell ref="D59:D60"/>
    <mergeCell ref="E59:E60"/>
    <mergeCell ref="D61:D64"/>
    <mergeCell ref="E61:E64"/>
    <mergeCell ref="O57:O58"/>
    <mergeCell ref="P57:P58"/>
    <mergeCell ref="Q57:Q58"/>
    <mergeCell ref="R57:R58"/>
    <mergeCell ref="S57:S58"/>
    <mergeCell ref="T57:T58"/>
    <mergeCell ref="U55:U56"/>
    <mergeCell ref="J55:J56"/>
    <mergeCell ref="K55:K56"/>
    <mergeCell ref="L55:L56"/>
    <mergeCell ref="M55:M56"/>
    <mergeCell ref="N55:N56"/>
    <mergeCell ref="O55:O56"/>
    <mergeCell ref="U57:U58"/>
    <mergeCell ref="V57:V58"/>
    <mergeCell ref="H48:H51"/>
    <mergeCell ref="B53:Y53"/>
    <mergeCell ref="B54:Y54"/>
    <mergeCell ref="B55:B58"/>
    <mergeCell ref="C55:F58"/>
    <mergeCell ref="G55:G58"/>
    <mergeCell ref="H55:H58"/>
    <mergeCell ref="I55:I56"/>
    <mergeCell ref="C30:C51"/>
    <mergeCell ref="V55:V56"/>
    <mergeCell ref="W55:W56"/>
    <mergeCell ref="X55:X58"/>
    <mergeCell ref="Y55:Y58"/>
    <mergeCell ref="I57:I58"/>
    <mergeCell ref="J57:J58"/>
    <mergeCell ref="K57:K58"/>
    <mergeCell ref="L57:L58"/>
    <mergeCell ref="M57:M58"/>
    <mergeCell ref="N57:N58"/>
    <mergeCell ref="P55:P56"/>
    <mergeCell ref="Q55:Q56"/>
    <mergeCell ref="R55:R56"/>
    <mergeCell ref="S55:S56"/>
    <mergeCell ref="T55:T56"/>
    <mergeCell ref="D44:D47"/>
    <mergeCell ref="E44:F44"/>
    <mergeCell ref="E45:F45"/>
    <mergeCell ref="E46:F46"/>
    <mergeCell ref="E47:F47"/>
    <mergeCell ref="D36:D38"/>
    <mergeCell ref="E36:F36"/>
    <mergeCell ref="E37:F37"/>
    <mergeCell ref="D48:D51"/>
    <mergeCell ref="E48:E51"/>
    <mergeCell ref="C14:C29"/>
    <mergeCell ref="D15:D23"/>
    <mergeCell ref="E15:E16"/>
    <mergeCell ref="E17:E21"/>
    <mergeCell ref="E22:E23"/>
    <mergeCell ref="Y37:Y38"/>
    <mergeCell ref="E38:F38"/>
    <mergeCell ref="D39:D43"/>
    <mergeCell ref="E39:F39"/>
    <mergeCell ref="E40:F40"/>
    <mergeCell ref="E41:F41"/>
    <mergeCell ref="E42:F42"/>
    <mergeCell ref="D24:D26"/>
    <mergeCell ref="E24:F24"/>
    <mergeCell ref="E25:F25"/>
    <mergeCell ref="E27:F27"/>
    <mergeCell ref="D28:D29"/>
    <mergeCell ref="D30:D35"/>
    <mergeCell ref="E30:F30"/>
    <mergeCell ref="E31:E32"/>
    <mergeCell ref="E33:E34"/>
    <mergeCell ref="E43:F43"/>
    <mergeCell ref="Y19:Y29"/>
    <mergeCell ref="O6:O7"/>
    <mergeCell ref="P6:P7"/>
    <mergeCell ref="Q6:Q7"/>
    <mergeCell ref="S4:S5"/>
    <mergeCell ref="T4:T5"/>
    <mergeCell ref="U4:U5"/>
    <mergeCell ref="O4:O5"/>
    <mergeCell ref="P4:P5"/>
    <mergeCell ref="Q4:Q5"/>
    <mergeCell ref="R4:R5"/>
    <mergeCell ref="N4:N5"/>
    <mergeCell ref="C8:C13"/>
    <mergeCell ref="D8:D9"/>
    <mergeCell ref="E8:E9"/>
    <mergeCell ref="D10:D13"/>
    <mergeCell ref="E10:E13"/>
    <mergeCell ref="L6:L7"/>
    <mergeCell ref="M6:M7"/>
    <mergeCell ref="N6:N7"/>
    <mergeCell ref="B2:Y2"/>
    <mergeCell ref="B3:Y3"/>
    <mergeCell ref="B4:B7"/>
    <mergeCell ref="C4:F7"/>
    <mergeCell ref="G4:G7"/>
    <mergeCell ref="H4:H7"/>
    <mergeCell ref="I4:I5"/>
    <mergeCell ref="J4:J5"/>
    <mergeCell ref="K4:K5"/>
    <mergeCell ref="L4:L5"/>
    <mergeCell ref="R6:R7"/>
    <mergeCell ref="S6:S7"/>
    <mergeCell ref="T6:T7"/>
    <mergeCell ref="U6:U7"/>
    <mergeCell ref="V6:V7"/>
    <mergeCell ref="W6:W7"/>
    <mergeCell ref="Y4:Y7"/>
    <mergeCell ref="I6:I7"/>
    <mergeCell ref="J6:J7"/>
    <mergeCell ref="K6:K7"/>
    <mergeCell ref="V4:V5"/>
    <mergeCell ref="W4:W5"/>
    <mergeCell ref="X4:X7"/>
    <mergeCell ref="M4:M5"/>
  </mergeCells>
  <phoneticPr fontId="2"/>
  <printOptions horizontalCentered="1"/>
  <pageMargins left="0" right="0" top="0" bottom="0" header="0.31496062992125984" footer="0.31496062992125984"/>
  <pageSetup paperSize="8" scale="61" orientation="landscape" r:id="rId1"/>
  <colBreaks count="1" manualBreakCount="1">
    <brk id="25" min="2" max="10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N35"/>
  <sheetViews>
    <sheetView showGridLines="0" workbookViewId="0"/>
  </sheetViews>
  <sheetFormatPr defaultRowHeight="13.5"/>
  <cols>
    <col min="2" max="2" width="18.375" bestFit="1" customWidth="1"/>
    <col min="3" max="3" width="15.125" bestFit="1" customWidth="1"/>
    <col min="4" max="4" width="16.375" bestFit="1" customWidth="1"/>
    <col min="5" max="5" width="21.875" bestFit="1" customWidth="1"/>
    <col min="6" max="6" width="15.25" bestFit="1" customWidth="1"/>
    <col min="7" max="7" width="9" style="3" bestFit="1" customWidth="1"/>
    <col min="8" max="8" width="30.375" style="4" bestFit="1" customWidth="1"/>
    <col min="10" max="10" width="14.25" customWidth="1"/>
    <col min="11" max="14" width="11.625" customWidth="1"/>
  </cols>
  <sheetData>
    <row r="2" spans="2:14" ht="14.25" thickBot="1">
      <c r="B2" t="s">
        <v>454</v>
      </c>
      <c r="C2" t="s">
        <v>776</v>
      </c>
    </row>
    <row r="3" spans="2:14" ht="15.75" customHeight="1">
      <c r="B3" s="1399" t="s">
        <v>23</v>
      </c>
      <c r="C3" s="1400"/>
      <c r="D3" s="1400"/>
      <c r="E3" s="1400"/>
      <c r="F3" s="441" t="s">
        <v>24</v>
      </c>
      <c r="G3" s="231" t="s">
        <v>37</v>
      </c>
      <c r="H3" s="232" t="s">
        <v>25</v>
      </c>
      <c r="J3" s="234" t="s">
        <v>448</v>
      </c>
      <c r="K3" s="235"/>
      <c r="L3" s="235"/>
      <c r="M3" s="235"/>
      <c r="N3" s="236"/>
    </row>
    <row r="4" spans="2:14" ht="15" customHeight="1">
      <c r="B4" s="1401" t="s">
        <v>177</v>
      </c>
      <c r="C4" s="1403" t="s">
        <v>173</v>
      </c>
      <c r="D4" s="442" t="str">
        <f>③基本情報入力【例】!L13</f>
        <v>濃縮汚泥</v>
      </c>
      <c r="E4" s="1404" t="s">
        <v>174</v>
      </c>
      <c r="F4" s="1405" t="s">
        <v>1</v>
      </c>
      <c r="G4" s="55">
        <f>+ROUNDUP('物質収支（いしかわモデル） 【例】'!I59,0)*H4</f>
        <v>6</v>
      </c>
      <c r="H4" s="445">
        <v>2</v>
      </c>
      <c r="J4" s="237" t="s">
        <v>449</v>
      </c>
      <c r="K4" s="238"/>
      <c r="L4" s="238"/>
      <c r="M4" s="238"/>
      <c r="N4" s="239"/>
    </row>
    <row r="5" spans="2:14">
      <c r="B5" s="1401"/>
      <c r="C5" s="1403"/>
      <c r="D5" s="442" t="str">
        <f>'物質収支（いしかわモデル） 【例】'!P57&amp;"・"&amp;'物質収支（いしかわモデル） 【例】'!Q57</f>
        <v>し尿・浄化槽汚泥</v>
      </c>
      <c r="E5" s="1404"/>
      <c r="F5" s="1405"/>
      <c r="G5" s="55">
        <f>ROUNDUP(('物質収支（いしかわモデル） 【例】'!P59+'物質収支（いしかわモデル） 【例】'!Q59)*H5,0)</f>
        <v>22</v>
      </c>
      <c r="H5" s="445">
        <v>1</v>
      </c>
      <c r="J5" s="240" t="s">
        <v>181</v>
      </c>
      <c r="K5" s="238" t="s">
        <v>197</v>
      </c>
      <c r="L5" s="238"/>
      <c r="M5" s="238"/>
      <c r="N5" s="239"/>
    </row>
    <row r="6" spans="2:14">
      <c r="B6" s="1401"/>
      <c r="C6" s="1403"/>
      <c r="D6" s="442" t="str">
        <f>'物質収支（いしかわモデル） 【例】'!R57</f>
        <v>集落排水汚泥</v>
      </c>
      <c r="E6" s="1404"/>
      <c r="F6" s="1405"/>
      <c r="G6" s="55">
        <f>+ROUNDUP('物質収支（いしかわモデル） 【例】'!R59,0)*H6</f>
        <v>12</v>
      </c>
      <c r="H6" s="445">
        <v>2</v>
      </c>
      <c r="J6" s="241" t="s">
        <v>180</v>
      </c>
      <c r="K6" s="238" t="s">
        <v>198</v>
      </c>
      <c r="L6" s="238"/>
      <c r="M6" s="238"/>
      <c r="N6" s="239"/>
    </row>
    <row r="7" spans="2:14">
      <c r="B7" s="1401"/>
      <c r="C7" s="1403"/>
      <c r="D7" s="442" t="str">
        <f>+'物質収支（いしかわモデル） 【例】'!S57</f>
        <v>生ごみ</v>
      </c>
      <c r="E7" s="1404"/>
      <c r="F7" s="1405"/>
      <c r="G7" s="55">
        <f>+ROUNDUP('物質収支（いしかわモデル） 【例】'!S59,0)*H7</f>
        <v>10</v>
      </c>
      <c r="H7" s="445">
        <v>2</v>
      </c>
      <c r="J7" s="241"/>
      <c r="K7" s="238"/>
      <c r="L7" s="238"/>
      <c r="M7" s="238"/>
      <c r="N7" s="239"/>
    </row>
    <row r="8" spans="2:14">
      <c r="B8" s="1401"/>
      <c r="C8" s="1403"/>
      <c r="D8" s="442">
        <f>+'物質収支（いしかわモデル） 【例】'!T57</f>
        <v>0</v>
      </c>
      <c r="E8" s="1404"/>
      <c r="F8" s="1405"/>
      <c r="G8" s="55">
        <f>+ROUNDUP('物質収支（いしかわモデル） 【例】'!T59,0)*H8</f>
        <v>0</v>
      </c>
      <c r="H8" s="445">
        <v>2</v>
      </c>
      <c r="J8" s="241"/>
      <c r="K8" s="238"/>
      <c r="L8" s="238"/>
      <c r="M8" s="238"/>
      <c r="N8" s="239"/>
    </row>
    <row r="9" spans="2:14">
      <c r="B9" s="1401"/>
      <c r="C9" s="1403"/>
      <c r="D9" s="442">
        <f>+'物質収支（いしかわモデル） 【例】'!U57</f>
        <v>0</v>
      </c>
      <c r="E9" s="1404"/>
      <c r="F9" s="1405"/>
      <c r="G9" s="55">
        <f>+ROUNDUP('物質収支（いしかわモデル） 【例】'!U59,0)*H9</f>
        <v>0</v>
      </c>
      <c r="H9" s="445">
        <v>2</v>
      </c>
      <c r="J9" s="241"/>
      <c r="K9" s="238"/>
      <c r="L9" s="238"/>
      <c r="M9" s="238"/>
      <c r="N9" s="239"/>
    </row>
    <row r="10" spans="2:14">
      <c r="B10" s="1401"/>
      <c r="C10" s="1403"/>
      <c r="D10" s="442">
        <f>+'物質収支（いしかわモデル） 【例】'!V57</f>
        <v>0</v>
      </c>
      <c r="E10" s="1404"/>
      <c r="F10" s="1405"/>
      <c r="G10" s="55">
        <f>+ROUNDUP('物質収支（いしかわモデル） 【例】'!V59,0)*H10</f>
        <v>0</v>
      </c>
      <c r="H10" s="445">
        <v>2</v>
      </c>
      <c r="J10" s="241"/>
      <c r="K10" s="238"/>
      <c r="L10" s="238"/>
      <c r="M10" s="238"/>
      <c r="N10" s="239"/>
    </row>
    <row r="11" spans="2:14" ht="15.75">
      <c r="B11" s="1401"/>
      <c r="C11" s="1403" t="s">
        <v>175</v>
      </c>
      <c r="D11" s="1403"/>
      <c r="E11" s="443" t="s">
        <v>176</v>
      </c>
      <c r="F11" s="444" t="s">
        <v>1</v>
      </c>
      <c r="G11" s="55">
        <f>ROUNDUP('計算条件（いしかわモデル）【例】'!G86,-1)</f>
        <v>40</v>
      </c>
      <c r="H11" s="446"/>
      <c r="J11" s="237" t="s">
        <v>450</v>
      </c>
      <c r="K11" s="238"/>
      <c r="L11" s="238"/>
      <c r="M11" s="238"/>
      <c r="N11" s="239"/>
    </row>
    <row r="12" spans="2:14" ht="15.75">
      <c r="B12" s="1401"/>
      <c r="C12" s="1406" t="s">
        <v>178</v>
      </c>
      <c r="D12" s="1403" t="s">
        <v>32</v>
      </c>
      <c r="E12" s="443" t="s">
        <v>28</v>
      </c>
      <c r="F12" s="323" t="s">
        <v>492</v>
      </c>
      <c r="G12" s="324">
        <f>+'物質収支（いしかわモデル） 【例】'!X13/ROUNDUP('計算条件（いしかわモデル）【例】'!G86*25,-1)*1000</f>
        <v>2.3048780487804881</v>
      </c>
      <c r="H12" s="447" t="s">
        <v>493</v>
      </c>
      <c r="J12" s="241"/>
      <c r="K12" s="238"/>
      <c r="L12" s="238"/>
      <c r="M12" s="238"/>
      <c r="N12" s="239"/>
    </row>
    <row r="13" spans="2:14" ht="15.75">
      <c r="B13" s="1401"/>
      <c r="C13" s="1406"/>
      <c r="D13" s="1403"/>
      <c r="E13" s="443" t="s">
        <v>34</v>
      </c>
      <c r="F13" s="444"/>
      <c r="G13" s="327" t="str">
        <f>+IF(G12&lt;=3.5,"O.K","能力不足")</f>
        <v>O.K</v>
      </c>
      <c r="H13" s="447"/>
      <c r="J13" s="237" t="s">
        <v>453</v>
      </c>
      <c r="K13" s="238"/>
      <c r="L13" s="238"/>
      <c r="M13" s="238"/>
      <c r="N13" s="239"/>
    </row>
    <row r="14" spans="2:14" ht="15.75">
      <c r="B14" s="1401"/>
      <c r="C14" s="1406"/>
      <c r="D14" s="1403"/>
      <c r="E14" s="443" t="s">
        <v>179</v>
      </c>
      <c r="F14" s="444" t="s">
        <v>1</v>
      </c>
      <c r="G14" s="328">
        <f>+IF(G13="O.K",ROUNDUP('計算条件（いしかわモデル）【例】'!G86*25,-1),'物質収支（いしかわモデル） 【例】'!X13*1000/3.5)</f>
        <v>820</v>
      </c>
      <c r="H14" s="447" t="s">
        <v>200</v>
      </c>
      <c r="J14" s="240" t="s">
        <v>182</v>
      </c>
      <c r="K14" s="238" t="s">
        <v>183</v>
      </c>
      <c r="L14" s="238"/>
      <c r="M14" s="238"/>
      <c r="N14" s="239"/>
    </row>
    <row r="15" spans="2:14">
      <c r="B15" s="1401"/>
      <c r="C15" s="1406"/>
      <c r="D15" s="1406" t="s">
        <v>31</v>
      </c>
      <c r="E15" s="443" t="s">
        <v>33</v>
      </c>
      <c r="F15" s="444" t="s">
        <v>36</v>
      </c>
      <c r="G15" s="324">
        <f>ROUND(G14/'物質収支（いしかわモデル） 【例】'!X10,2)</f>
        <v>25.15</v>
      </c>
      <c r="H15" s="447" t="s">
        <v>99</v>
      </c>
      <c r="J15" s="241"/>
      <c r="K15" s="238" t="s">
        <v>184</v>
      </c>
      <c r="L15" s="238"/>
      <c r="M15" s="238"/>
      <c r="N15" s="239"/>
    </row>
    <row r="16" spans="2:14" ht="15.75">
      <c r="B16" s="1401"/>
      <c r="C16" s="1406"/>
      <c r="D16" s="1406"/>
      <c r="E16" s="443" t="s">
        <v>34</v>
      </c>
      <c r="F16" s="444"/>
      <c r="G16" s="327" t="str">
        <f>+IF(G15&lt;H16,"能力不足","O.K")</f>
        <v>O.K</v>
      </c>
      <c r="H16" s="448">
        <v>25</v>
      </c>
      <c r="J16" s="241"/>
      <c r="K16" s="238" t="s">
        <v>185</v>
      </c>
      <c r="L16" s="238"/>
      <c r="M16" s="238"/>
      <c r="N16" s="239"/>
    </row>
    <row r="17" spans="2:14" ht="15.75">
      <c r="B17" s="1401"/>
      <c r="C17" s="1404" t="s">
        <v>167</v>
      </c>
      <c r="D17" s="1404"/>
      <c r="E17" s="443" t="s">
        <v>171</v>
      </c>
      <c r="F17" s="444" t="s">
        <v>1</v>
      </c>
      <c r="G17" s="56">
        <f>+ROUNDUP('物質収支（いしかわモデル） 【例】'!X33/2,-1)</f>
        <v>440</v>
      </c>
      <c r="H17" s="447"/>
      <c r="J17" s="241"/>
      <c r="K17" s="238"/>
      <c r="L17" s="238"/>
      <c r="M17" s="238"/>
      <c r="N17" s="239"/>
    </row>
    <row r="18" spans="2:14" ht="15.75">
      <c r="B18" s="1401"/>
      <c r="C18" s="1404" t="s">
        <v>155</v>
      </c>
      <c r="D18" s="1404"/>
      <c r="E18" s="443" t="s">
        <v>172</v>
      </c>
      <c r="F18" s="444" t="s">
        <v>189</v>
      </c>
      <c r="G18" s="57">
        <f>ROUNDUP('物質収支（いしかわモデル） 【例】'!X33/24,0)</f>
        <v>37</v>
      </c>
      <c r="H18" s="447"/>
      <c r="J18" s="237" t="s">
        <v>451</v>
      </c>
      <c r="K18" s="238"/>
      <c r="L18" s="238"/>
      <c r="M18" s="238"/>
      <c r="N18" s="239"/>
    </row>
    <row r="19" spans="2:14" ht="15.75">
      <c r="B19" s="1401"/>
      <c r="C19" s="1406" t="s">
        <v>30</v>
      </c>
      <c r="D19" s="1403" t="s">
        <v>187</v>
      </c>
      <c r="E19" s="443" t="s">
        <v>186</v>
      </c>
      <c r="F19" s="444" t="s">
        <v>190</v>
      </c>
      <c r="G19" s="324">
        <f>+③基本情報入力【例】!AD86</f>
        <v>36</v>
      </c>
      <c r="H19" s="448"/>
      <c r="J19" s="237" t="s">
        <v>452</v>
      </c>
      <c r="K19" s="238"/>
      <c r="L19" s="238"/>
      <c r="M19" s="238"/>
      <c r="N19" s="239"/>
    </row>
    <row r="20" spans="2:14">
      <c r="B20" s="1401"/>
      <c r="C20" s="1406"/>
      <c r="D20" s="1403"/>
      <c r="E20" s="443" t="s">
        <v>34</v>
      </c>
      <c r="F20" s="444" t="s">
        <v>464</v>
      </c>
      <c r="G20" s="327" t="str">
        <f>+IF('物質収支（いしかわモデル） 【例】'!X32&lt;G19,"O.K","能力不足")</f>
        <v>O.K</v>
      </c>
      <c r="H20" s="449"/>
      <c r="J20" s="241"/>
      <c r="K20" s="238"/>
      <c r="L20" s="238"/>
      <c r="M20" s="238"/>
      <c r="N20" s="239"/>
    </row>
    <row r="21" spans="2:14" ht="15.75">
      <c r="B21" s="1401"/>
      <c r="C21" s="1406"/>
      <c r="D21" s="1403"/>
      <c r="E21" s="443" t="s">
        <v>188</v>
      </c>
      <c r="F21" s="444" t="s">
        <v>191</v>
      </c>
      <c r="G21" s="327">
        <f>IF(G20="O.K",0,ROUNDUP('物質収支（いしかわモデル） 【例】'!X32-'施設規模の設定（いしかわモデル）【例】'!G19,1))</f>
        <v>0</v>
      </c>
      <c r="H21" s="449"/>
      <c r="J21" s="241"/>
      <c r="K21" s="238"/>
      <c r="L21" s="238"/>
      <c r="M21" s="238"/>
      <c r="N21" s="239"/>
    </row>
    <row r="22" spans="2:14" ht="14.25" thickBot="1">
      <c r="B22" s="1401"/>
      <c r="C22" s="1404" t="s">
        <v>156</v>
      </c>
      <c r="D22" s="1404"/>
      <c r="E22" s="442" t="s">
        <v>172</v>
      </c>
      <c r="F22" s="444" t="s">
        <v>0</v>
      </c>
      <c r="G22" s="324">
        <f>'物質収支（いしかわモデル） 【例】'!X41</f>
        <v>8.1999999999999993</v>
      </c>
      <c r="H22" s="450"/>
      <c r="J22" s="242"/>
      <c r="K22" s="243"/>
      <c r="L22" s="243"/>
      <c r="M22" s="243"/>
      <c r="N22" s="244"/>
    </row>
    <row r="23" spans="2:14" ht="16.5" thickBot="1">
      <c r="B23" s="1402"/>
      <c r="C23" s="455" t="s">
        <v>522</v>
      </c>
      <c r="D23" s="455" t="s">
        <v>531</v>
      </c>
      <c r="E23" s="455" t="s">
        <v>172</v>
      </c>
      <c r="F23" s="455" t="s">
        <v>527</v>
      </c>
      <c r="G23" s="456">
        <f>'計算条件（いしかわモデル）【例】'!G7+'計算条件（いしかわモデル）【例】'!G13+'計算条件（いしかわモデル）【例】'!G19+'計算条件（いしかわモデル）【例】'!G25+'計算条件（いしかわモデル）【例】'!G31+'計算条件（いしかわモデル）【例】'!G37+'計算条件（いしかわモデル）【例】'!G43</f>
        <v>83.7</v>
      </c>
      <c r="H23" s="457" t="s">
        <v>526</v>
      </c>
    </row>
    <row r="25" spans="2:14" ht="13.5" customHeight="1"/>
    <row r="26" spans="2:14" s="3" customFormat="1">
      <c r="B26"/>
      <c r="C26"/>
    </row>
    <row r="28" spans="2:14" s="3" customFormat="1">
      <c r="B28"/>
      <c r="C28"/>
      <c r="D28"/>
      <c r="E28"/>
      <c r="F28"/>
      <c r="H28" s="4"/>
    </row>
    <row r="29" spans="2:14" s="3" customFormat="1">
      <c r="B29"/>
      <c r="C29"/>
      <c r="D29"/>
      <c r="E29"/>
      <c r="F29"/>
      <c r="H29" s="4"/>
    </row>
    <row r="30" spans="2:14" s="3" customFormat="1">
      <c r="B30"/>
      <c r="C30"/>
      <c r="D30"/>
      <c r="E30"/>
      <c r="F30"/>
      <c r="H30" s="4"/>
    </row>
    <row r="31" spans="2:14" s="3" customFormat="1">
      <c r="B31"/>
      <c r="C31"/>
      <c r="D31"/>
      <c r="E31"/>
      <c r="F31"/>
      <c r="H31" s="4"/>
    </row>
    <row r="32" spans="2:14" s="3" customFormat="1">
      <c r="B32"/>
      <c r="C32"/>
      <c r="D32"/>
      <c r="E32"/>
      <c r="F32"/>
      <c r="H32" s="4"/>
    </row>
    <row r="33" spans="2:10" s="3" customFormat="1">
      <c r="B33"/>
      <c r="C33"/>
      <c r="D33"/>
      <c r="E33"/>
      <c r="F33"/>
      <c r="H33" s="4"/>
    </row>
    <row r="34" spans="2:10" s="3" customFormat="1">
      <c r="B34"/>
      <c r="C34"/>
      <c r="D34"/>
      <c r="E34"/>
      <c r="F34"/>
      <c r="H34" s="4"/>
    </row>
    <row r="35" spans="2:10">
      <c r="J35" s="3"/>
    </row>
  </sheetData>
  <mergeCells count="14">
    <mergeCell ref="B3:E3"/>
    <mergeCell ref="B4:B23"/>
    <mergeCell ref="C4:C10"/>
    <mergeCell ref="E4:E10"/>
    <mergeCell ref="F4:F10"/>
    <mergeCell ref="C11:D11"/>
    <mergeCell ref="C12:C16"/>
    <mergeCell ref="D12:D14"/>
    <mergeCell ref="D15:D16"/>
    <mergeCell ref="C17:D17"/>
    <mergeCell ref="C18:D18"/>
    <mergeCell ref="C19:C21"/>
    <mergeCell ref="D19:D21"/>
    <mergeCell ref="C22:D22"/>
  </mergeCells>
  <phoneticPr fontId="2"/>
  <printOptions horizontalCentered="1"/>
  <pageMargins left="3.937007874015748E-2" right="0"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2:I90"/>
  <sheetViews>
    <sheetView workbookViewId="0"/>
  </sheetViews>
  <sheetFormatPr defaultRowHeight="13.5"/>
  <cols>
    <col min="2" max="2" width="10.125" bestFit="1" customWidth="1"/>
    <col min="3" max="3" width="10.125" customWidth="1"/>
    <col min="4" max="4" width="19.375" bestFit="1" customWidth="1"/>
    <col min="5" max="5" width="29.125" bestFit="1" customWidth="1"/>
    <col min="6" max="6" width="9.5" bestFit="1" customWidth="1"/>
    <col min="7" max="8" width="11" style="3" bestFit="1" customWidth="1"/>
    <col min="9" max="9" width="24.875" style="4" bestFit="1" customWidth="1"/>
  </cols>
  <sheetData>
    <row r="2" spans="2:9" ht="14.25" thickBot="1">
      <c r="B2" t="s">
        <v>455</v>
      </c>
      <c r="D2" t="s">
        <v>777</v>
      </c>
    </row>
    <row r="3" spans="2:9" ht="14.25" thickBot="1">
      <c r="B3" s="245"/>
      <c r="C3" s="220" t="s">
        <v>275</v>
      </c>
      <c r="D3" s="221" t="s">
        <v>158</v>
      </c>
      <c r="E3" s="221" t="s">
        <v>23</v>
      </c>
      <c r="F3" s="221" t="s">
        <v>24</v>
      </c>
      <c r="G3" s="67" t="s">
        <v>152</v>
      </c>
      <c r="H3" s="67" t="s">
        <v>153</v>
      </c>
      <c r="I3" s="68" t="s">
        <v>25</v>
      </c>
    </row>
    <row r="4" spans="2:9" ht="15.75">
      <c r="B4" s="1380" t="s">
        <v>154</v>
      </c>
      <c r="C4" s="1383" t="str">
        <f>+③基本情報入力【例】!L12</f>
        <v>A市浄化センター</v>
      </c>
      <c r="D4" s="1385" t="str">
        <f>+③基本情報入力【例】!Q13</f>
        <v>脱水汚泥</v>
      </c>
      <c r="E4" s="246" t="s">
        <v>333</v>
      </c>
      <c r="F4" s="246" t="s">
        <v>2</v>
      </c>
      <c r="G4" s="247">
        <f>ROUND(+'物質収支（いしかわモデル） 【例】'!I8,2)</f>
        <v>2.5</v>
      </c>
      <c r="H4" s="247">
        <f>ROUND(+'物質収支（いしかわモデル） 【例】'!I59,2)</f>
        <v>3</v>
      </c>
      <c r="I4" s="248"/>
    </row>
    <row r="5" spans="2:9" ht="15.75">
      <c r="B5" s="1381"/>
      <c r="C5" s="1384"/>
      <c r="D5" s="1385"/>
      <c r="E5" s="249" t="s">
        <v>334</v>
      </c>
      <c r="F5" s="249" t="s">
        <v>220</v>
      </c>
      <c r="G5" s="250">
        <f>G4*365</f>
        <v>912.5</v>
      </c>
      <c r="H5" s="250">
        <f>H4*365</f>
        <v>1095</v>
      </c>
      <c r="I5" s="233"/>
    </row>
    <row r="6" spans="2:9">
      <c r="B6" s="1381"/>
      <c r="C6" s="1384"/>
      <c r="D6" s="1385"/>
      <c r="E6" s="249" t="s">
        <v>44</v>
      </c>
      <c r="F6" s="249" t="s">
        <v>21</v>
      </c>
      <c r="G6" s="250">
        <f>ROUND((100-'物質収支（いしかわモデル） 【例】'!I15),2)</f>
        <v>83</v>
      </c>
      <c r="H6" s="250">
        <f>ROUND((100-'物質収支（いしかわモデル） 【例】'!I66),2)</f>
        <v>83</v>
      </c>
      <c r="I6" s="233"/>
    </row>
    <row r="7" spans="2:9" ht="15.75">
      <c r="B7" s="1381"/>
      <c r="C7" s="1384"/>
      <c r="D7" s="1385"/>
      <c r="E7" s="249" t="s">
        <v>45</v>
      </c>
      <c r="F7" s="249" t="s">
        <v>2</v>
      </c>
      <c r="G7" s="250">
        <f>ROUND(+(100-G6)*G4,2)</f>
        <v>42.5</v>
      </c>
      <c r="H7" s="250">
        <f>ROUND(+(100-H6)*H4,2)</f>
        <v>51</v>
      </c>
      <c r="I7" s="233"/>
    </row>
    <row r="8" spans="2:9">
      <c r="B8" s="1381"/>
      <c r="C8" s="1384"/>
      <c r="D8" s="1385"/>
      <c r="E8" s="249" t="s">
        <v>92</v>
      </c>
      <c r="F8" s="249" t="s">
        <v>27</v>
      </c>
      <c r="G8" s="250">
        <f>ROUND(+'物質収支（いしかわモデル） 【例】'!I16,2)</f>
        <v>80.7</v>
      </c>
      <c r="H8" s="250">
        <f>ROUND(+'物質収支（いしかわモデル） 【例】'!I67,2)</f>
        <v>80.7</v>
      </c>
      <c r="I8" s="233"/>
    </row>
    <row r="9" spans="2:9" ht="16.5" thickBot="1">
      <c r="B9" s="1381"/>
      <c r="C9" s="1384"/>
      <c r="D9" s="1386"/>
      <c r="E9" s="251" t="s">
        <v>94</v>
      </c>
      <c r="F9" s="251" t="s">
        <v>26</v>
      </c>
      <c r="G9" s="252">
        <f>ROUND(+'物質収支（いしかわモデル） 【例】'!I18,2)</f>
        <v>0.6</v>
      </c>
      <c r="H9" s="252">
        <f>ROUND(+'物質収支（いしかわモデル） 【例】'!I69,2)</f>
        <v>0.6</v>
      </c>
      <c r="I9" s="253"/>
    </row>
    <row r="10" spans="2:9" ht="15.75">
      <c r="B10" s="1381"/>
      <c r="C10" s="1383" t="str">
        <f>+③基本情報入力【例】!V12</f>
        <v>B町中央浄化センター</v>
      </c>
      <c r="D10" s="1385" t="str">
        <f>+③基本情報入力【例】!V13</f>
        <v>脱水汚泥</v>
      </c>
      <c r="E10" s="246" t="s">
        <v>333</v>
      </c>
      <c r="F10" s="246" t="s">
        <v>2</v>
      </c>
      <c r="G10" s="247">
        <f>ROUND(+'物質収支（いしかわモデル） 【例】'!J8,2)</f>
        <v>1</v>
      </c>
      <c r="H10" s="247">
        <f>ROUND(+'物質収支（いしかわモデル） 【例】'!J59,2)</f>
        <v>1.2</v>
      </c>
      <c r="I10" s="248"/>
    </row>
    <row r="11" spans="2:9" ht="15.75">
      <c r="B11" s="1381"/>
      <c r="C11" s="1384"/>
      <c r="D11" s="1385"/>
      <c r="E11" s="249" t="s">
        <v>334</v>
      </c>
      <c r="F11" s="249" t="s">
        <v>220</v>
      </c>
      <c r="G11" s="250">
        <f>G10*365</f>
        <v>365</v>
      </c>
      <c r="H11" s="250">
        <f>H10*365</f>
        <v>438</v>
      </c>
      <c r="I11" s="233"/>
    </row>
    <row r="12" spans="2:9">
      <c r="B12" s="1381"/>
      <c r="C12" s="1384"/>
      <c r="D12" s="1385"/>
      <c r="E12" s="249" t="s">
        <v>44</v>
      </c>
      <c r="F12" s="249" t="s">
        <v>21</v>
      </c>
      <c r="G12" s="250">
        <f>ROUND((100-'物質収支（いしかわモデル） 【例】'!J15),2)</f>
        <v>84</v>
      </c>
      <c r="H12" s="250">
        <f>ROUND((100-'物質収支（いしかわモデル） 【例】'!J66),2)</f>
        <v>84</v>
      </c>
      <c r="I12" s="233"/>
    </row>
    <row r="13" spans="2:9" ht="15.75">
      <c r="B13" s="1381"/>
      <c r="C13" s="1384"/>
      <c r="D13" s="1385"/>
      <c r="E13" s="249" t="s">
        <v>45</v>
      </c>
      <c r="F13" s="249" t="s">
        <v>2</v>
      </c>
      <c r="G13" s="250">
        <f>ROUND(+(100-G12)*G10,2)</f>
        <v>16</v>
      </c>
      <c r="H13" s="250">
        <f>ROUND(+(100-H12)*H10,2)</f>
        <v>19.2</v>
      </c>
      <c r="I13" s="233"/>
    </row>
    <row r="14" spans="2:9">
      <c r="B14" s="1381"/>
      <c r="C14" s="1384"/>
      <c r="D14" s="1385"/>
      <c r="E14" s="249" t="s">
        <v>92</v>
      </c>
      <c r="F14" s="249" t="s">
        <v>27</v>
      </c>
      <c r="G14" s="250">
        <f>ROUND(+'物質収支（いしかわモデル） 【例】'!J16,2)</f>
        <v>80.7</v>
      </c>
      <c r="H14" s="250">
        <f>ROUND(+'物質収支（いしかわモデル） 【例】'!J67,2)</f>
        <v>80.7</v>
      </c>
      <c r="I14" s="233"/>
    </row>
    <row r="15" spans="2:9" ht="16.5" thickBot="1">
      <c r="B15" s="1381"/>
      <c r="C15" s="1384"/>
      <c r="D15" s="1386"/>
      <c r="E15" s="251" t="s">
        <v>94</v>
      </c>
      <c r="F15" s="251" t="s">
        <v>26</v>
      </c>
      <c r="G15" s="252">
        <f>ROUND(+'物質収支（いしかわモデル） 【例】'!J18,2)</f>
        <v>0.6</v>
      </c>
      <c r="H15" s="252">
        <f>ROUND(+'物質収支（いしかわモデル） 【例】'!J69,2)</f>
        <v>0.6</v>
      </c>
      <c r="I15" s="253"/>
    </row>
    <row r="16" spans="2:9" ht="15.75">
      <c r="B16" s="1381"/>
      <c r="C16" s="1383" t="str">
        <f>+③基本情報入力【例】!AA12</f>
        <v>B町浄化センター</v>
      </c>
      <c r="D16" s="1385" t="str">
        <f>+③基本情報入力【例】!AA13</f>
        <v>脱水汚泥</v>
      </c>
      <c r="E16" s="246" t="s">
        <v>333</v>
      </c>
      <c r="F16" s="246" t="s">
        <v>2</v>
      </c>
      <c r="G16" s="247">
        <f>ROUND(+'物質収支（いしかわモデル） 【例】'!K8,2)</f>
        <v>0.7</v>
      </c>
      <c r="H16" s="247">
        <f>ROUND(+'物質収支（いしかわモデル） 【例】'!K59,2)</f>
        <v>0.84</v>
      </c>
      <c r="I16" s="248"/>
    </row>
    <row r="17" spans="2:9" ht="15.75">
      <c r="B17" s="1381"/>
      <c r="C17" s="1384"/>
      <c r="D17" s="1385"/>
      <c r="E17" s="249" t="s">
        <v>334</v>
      </c>
      <c r="F17" s="249" t="s">
        <v>220</v>
      </c>
      <c r="G17" s="250">
        <f>G16*365</f>
        <v>255.49999999999997</v>
      </c>
      <c r="H17" s="250">
        <f>H16*365</f>
        <v>306.59999999999997</v>
      </c>
      <c r="I17" s="233"/>
    </row>
    <row r="18" spans="2:9">
      <c r="B18" s="1381"/>
      <c r="C18" s="1384"/>
      <c r="D18" s="1385"/>
      <c r="E18" s="249" t="s">
        <v>44</v>
      </c>
      <c r="F18" s="249" t="s">
        <v>21</v>
      </c>
      <c r="G18" s="250">
        <f>ROUND((100-'物質収支（いしかわモデル） 【例】'!K15),2)</f>
        <v>84</v>
      </c>
      <c r="H18" s="250">
        <f>ROUND((100-'物質収支（いしかわモデル） 【例】'!K66),2)</f>
        <v>84</v>
      </c>
      <c r="I18" s="233"/>
    </row>
    <row r="19" spans="2:9" ht="15.75">
      <c r="B19" s="1381"/>
      <c r="C19" s="1384"/>
      <c r="D19" s="1385"/>
      <c r="E19" s="249" t="s">
        <v>45</v>
      </c>
      <c r="F19" s="249" t="s">
        <v>2</v>
      </c>
      <c r="G19" s="250">
        <f>ROUND(+(100-G18)*G16,2)</f>
        <v>11.2</v>
      </c>
      <c r="H19" s="250">
        <f>ROUND(+(100-H18)*H16,2)</f>
        <v>13.44</v>
      </c>
      <c r="I19" s="233"/>
    </row>
    <row r="20" spans="2:9">
      <c r="B20" s="1381"/>
      <c r="C20" s="1384"/>
      <c r="D20" s="1385"/>
      <c r="E20" s="249" t="s">
        <v>92</v>
      </c>
      <c r="F20" s="249" t="s">
        <v>27</v>
      </c>
      <c r="G20" s="250">
        <f>ROUND(+'物質収支（いしかわモデル） 【例】'!K16,2)</f>
        <v>80.7</v>
      </c>
      <c r="H20" s="250">
        <f>ROUND(+'物質収支（いしかわモデル） 【例】'!K67,2)</f>
        <v>80.7</v>
      </c>
      <c r="I20" s="233"/>
    </row>
    <row r="21" spans="2:9" ht="16.5" thickBot="1">
      <c r="B21" s="1381"/>
      <c r="C21" s="1384"/>
      <c r="D21" s="1386"/>
      <c r="E21" s="251" t="s">
        <v>94</v>
      </c>
      <c r="F21" s="251" t="s">
        <v>26</v>
      </c>
      <c r="G21" s="252">
        <f>ROUND(+'物質収支（いしかわモデル） 【例】'!K18,2)</f>
        <v>0.6</v>
      </c>
      <c r="H21" s="252">
        <f>ROUND(+'物質収支（いしかわモデル） 【例】'!K69,2)</f>
        <v>0.6</v>
      </c>
      <c r="I21" s="253"/>
    </row>
    <row r="22" spans="2:9" ht="15.75">
      <c r="B22" s="1381"/>
      <c r="C22" s="1383" t="str">
        <f>+③基本情報入力【例】!AF12</f>
        <v>C町西浄化センター</v>
      </c>
      <c r="D22" s="1385" t="str">
        <f>+③基本情報入力【例】!AF13</f>
        <v>脱水汚泥</v>
      </c>
      <c r="E22" s="246" t="s">
        <v>333</v>
      </c>
      <c r="F22" s="246" t="s">
        <v>2</v>
      </c>
      <c r="G22" s="247">
        <f>ROUND(+'物質収支（いしかわモデル） 【例】'!L8,2)</f>
        <v>0.5</v>
      </c>
      <c r="H22" s="247">
        <f>ROUND(+'物質収支（いしかわモデル） 【例】'!L59,2)</f>
        <v>0.6</v>
      </c>
      <c r="I22" s="248"/>
    </row>
    <row r="23" spans="2:9" ht="15.75">
      <c r="B23" s="1381"/>
      <c r="C23" s="1384"/>
      <c r="D23" s="1385"/>
      <c r="E23" s="249" t="s">
        <v>334</v>
      </c>
      <c r="F23" s="249" t="s">
        <v>220</v>
      </c>
      <c r="G23" s="250">
        <f>G22*365</f>
        <v>182.5</v>
      </c>
      <c r="H23" s="250">
        <f>H22*365</f>
        <v>219</v>
      </c>
      <c r="I23" s="233"/>
    </row>
    <row r="24" spans="2:9">
      <c r="B24" s="1381"/>
      <c r="C24" s="1384"/>
      <c r="D24" s="1385"/>
      <c r="E24" s="249" t="s">
        <v>44</v>
      </c>
      <c r="F24" s="249" t="s">
        <v>21</v>
      </c>
      <c r="G24" s="250">
        <f>ROUND((100-'物質収支（いしかわモデル） 【例】'!L15),2)</f>
        <v>83</v>
      </c>
      <c r="H24" s="250">
        <f>ROUND((100-'物質収支（いしかわモデル） 【例】'!L66),2)</f>
        <v>83</v>
      </c>
      <c r="I24" s="233"/>
    </row>
    <row r="25" spans="2:9" ht="15.75">
      <c r="B25" s="1381"/>
      <c r="C25" s="1384"/>
      <c r="D25" s="1385"/>
      <c r="E25" s="249" t="s">
        <v>45</v>
      </c>
      <c r="F25" s="249" t="s">
        <v>2</v>
      </c>
      <c r="G25" s="250">
        <f>ROUND(+(100-G24)*G22,2)</f>
        <v>8.5</v>
      </c>
      <c r="H25" s="250">
        <f>ROUND(+(100-H24)*H22,2)</f>
        <v>10.199999999999999</v>
      </c>
      <c r="I25" s="233"/>
    </row>
    <row r="26" spans="2:9">
      <c r="B26" s="1381"/>
      <c r="C26" s="1384"/>
      <c r="D26" s="1385"/>
      <c r="E26" s="249" t="s">
        <v>92</v>
      </c>
      <c r="F26" s="249" t="s">
        <v>27</v>
      </c>
      <c r="G26" s="250">
        <f>ROUND(+'物質収支（いしかわモデル） 【例】'!L16,2)</f>
        <v>80.7</v>
      </c>
      <c r="H26" s="250">
        <f>ROUND(+'物質収支（いしかわモデル） 【例】'!L67,2)</f>
        <v>80.7</v>
      </c>
      <c r="I26" s="233"/>
    </row>
    <row r="27" spans="2:9" ht="16.5" thickBot="1">
      <c r="B27" s="1381"/>
      <c r="C27" s="1384"/>
      <c r="D27" s="1386"/>
      <c r="E27" s="251" t="s">
        <v>94</v>
      </c>
      <c r="F27" s="251" t="s">
        <v>26</v>
      </c>
      <c r="G27" s="252">
        <f>ROUND(+'物質収支（いしかわモデル） 【例】'!L18,2)</f>
        <v>0.6</v>
      </c>
      <c r="H27" s="252">
        <f>ROUND(+'物質収支（いしかわモデル） 【例】'!L69,2)</f>
        <v>0.6</v>
      </c>
      <c r="I27" s="253"/>
    </row>
    <row r="28" spans="2:9" ht="15.75">
      <c r="B28" s="1381"/>
      <c r="C28" s="1383" t="str">
        <f>+③基本情報入力【例】!AK12</f>
        <v>C町東浄化センター</v>
      </c>
      <c r="D28" s="1385" t="str">
        <f>+③基本情報入力【例】!AK13</f>
        <v>濃縮汚泥</v>
      </c>
      <c r="E28" s="246" t="s">
        <v>333</v>
      </c>
      <c r="F28" s="246" t="s">
        <v>2</v>
      </c>
      <c r="G28" s="247">
        <f>ROUND(+'物質収支（いしかわモデル） 【例】'!M8,2)</f>
        <v>0.1</v>
      </c>
      <c r="H28" s="247">
        <f>ROUND(+'物質収支（いしかわモデル） 【例】'!M59,2)</f>
        <v>0.12</v>
      </c>
      <c r="I28" s="248"/>
    </row>
    <row r="29" spans="2:9" ht="15.75">
      <c r="B29" s="1381"/>
      <c r="C29" s="1384"/>
      <c r="D29" s="1385"/>
      <c r="E29" s="249" t="s">
        <v>334</v>
      </c>
      <c r="F29" s="249" t="s">
        <v>220</v>
      </c>
      <c r="G29" s="250">
        <f>G28*365</f>
        <v>36.5</v>
      </c>
      <c r="H29" s="250">
        <f>H28*365</f>
        <v>43.8</v>
      </c>
      <c r="I29" s="233"/>
    </row>
    <row r="30" spans="2:9">
      <c r="B30" s="1381"/>
      <c r="C30" s="1384"/>
      <c r="D30" s="1385"/>
      <c r="E30" s="249" t="s">
        <v>44</v>
      </c>
      <c r="F30" s="249" t="s">
        <v>21</v>
      </c>
      <c r="G30" s="250">
        <f>ROUND((100-'物質収支（いしかわモデル） 【例】'!M15),2)</f>
        <v>98.5</v>
      </c>
      <c r="H30" s="250">
        <f>ROUND((100-'物質収支（いしかわモデル） 【例】'!M66),2)</f>
        <v>98.5</v>
      </c>
      <c r="I30" s="233"/>
    </row>
    <row r="31" spans="2:9" ht="15.75">
      <c r="B31" s="1381"/>
      <c r="C31" s="1384"/>
      <c r="D31" s="1385"/>
      <c r="E31" s="249" t="s">
        <v>45</v>
      </c>
      <c r="F31" s="249" t="s">
        <v>2</v>
      </c>
      <c r="G31" s="250">
        <f>ROUND(+(100-G30)*G28,2)</f>
        <v>0.15</v>
      </c>
      <c r="H31" s="250">
        <f>ROUND(+(100-H30)*H28,2)</f>
        <v>0.18</v>
      </c>
      <c r="I31" s="233"/>
    </row>
    <row r="32" spans="2:9">
      <c r="B32" s="1381"/>
      <c r="C32" s="1384"/>
      <c r="D32" s="1385"/>
      <c r="E32" s="249" t="s">
        <v>92</v>
      </c>
      <c r="F32" s="249" t="s">
        <v>27</v>
      </c>
      <c r="G32" s="250">
        <f>ROUND(+'物質収支（いしかわモデル） 【例】'!M16,2)</f>
        <v>80.7</v>
      </c>
      <c r="H32" s="250">
        <f>ROUND(+'物質収支（いしかわモデル） 【例】'!M67,2)</f>
        <v>80.7</v>
      </c>
      <c r="I32" s="233"/>
    </row>
    <row r="33" spans="2:9" ht="16.5" thickBot="1">
      <c r="B33" s="1381"/>
      <c r="C33" s="1384"/>
      <c r="D33" s="1386"/>
      <c r="E33" s="251" t="s">
        <v>94</v>
      </c>
      <c r="F33" s="251" t="s">
        <v>26</v>
      </c>
      <c r="G33" s="252">
        <f>ROUND(+'物質収支（いしかわモデル） 【例】'!M18,2)</f>
        <v>0.6</v>
      </c>
      <c r="H33" s="252">
        <f>ROUND(+'物質収支（いしかわモデル） 【例】'!M69,2)</f>
        <v>0.6</v>
      </c>
      <c r="I33" s="253"/>
    </row>
    <row r="34" spans="2:9" ht="15.75">
      <c r="B34" s="1381"/>
      <c r="C34" s="1383" t="str">
        <f>+③基本情報入力【例】!AP12</f>
        <v>C町中部浄化センター</v>
      </c>
      <c r="D34" s="1385" t="str">
        <f>+③基本情報入力【例】!AP13</f>
        <v>脱水汚泥</v>
      </c>
      <c r="E34" s="246" t="s">
        <v>333</v>
      </c>
      <c r="F34" s="246" t="s">
        <v>2</v>
      </c>
      <c r="G34" s="247">
        <f>ROUND(+'物質収支（いしかわモデル） 【例】'!N8,2)</f>
        <v>0.3</v>
      </c>
      <c r="H34" s="247">
        <f>ROUND(+'物質収支（いしかわモデル） 【例】'!N59,2)</f>
        <v>0.36</v>
      </c>
      <c r="I34" s="248"/>
    </row>
    <row r="35" spans="2:9" ht="15.75">
      <c r="B35" s="1381"/>
      <c r="C35" s="1384"/>
      <c r="D35" s="1385"/>
      <c r="E35" s="249" t="s">
        <v>334</v>
      </c>
      <c r="F35" s="249" t="s">
        <v>220</v>
      </c>
      <c r="G35" s="250">
        <f>G34*365</f>
        <v>109.5</v>
      </c>
      <c r="H35" s="250">
        <f>H34*365</f>
        <v>131.4</v>
      </c>
      <c r="I35" s="233"/>
    </row>
    <row r="36" spans="2:9">
      <c r="B36" s="1381"/>
      <c r="C36" s="1384"/>
      <c r="D36" s="1385"/>
      <c r="E36" s="249" t="s">
        <v>44</v>
      </c>
      <c r="F36" s="249" t="s">
        <v>21</v>
      </c>
      <c r="G36" s="250">
        <f>ROUND((100-'物質収支（いしかわモデル） 【例】'!N15),2)</f>
        <v>84</v>
      </c>
      <c r="H36" s="250">
        <f>ROUND((100-'物質収支（いしかわモデル） 【例】'!N66),2)</f>
        <v>84</v>
      </c>
      <c r="I36" s="233"/>
    </row>
    <row r="37" spans="2:9" ht="15.75">
      <c r="B37" s="1381"/>
      <c r="C37" s="1384"/>
      <c r="D37" s="1385"/>
      <c r="E37" s="249" t="s">
        <v>45</v>
      </c>
      <c r="F37" s="249" t="s">
        <v>2</v>
      </c>
      <c r="G37" s="250">
        <f>ROUND(+(100-G36)*G34,2)</f>
        <v>4.8</v>
      </c>
      <c r="H37" s="250">
        <f>ROUND(+(100-H36)*H34,2)</f>
        <v>5.76</v>
      </c>
      <c r="I37" s="233"/>
    </row>
    <row r="38" spans="2:9">
      <c r="B38" s="1381"/>
      <c r="C38" s="1384"/>
      <c r="D38" s="1385"/>
      <c r="E38" s="249" t="s">
        <v>92</v>
      </c>
      <c r="F38" s="249" t="s">
        <v>27</v>
      </c>
      <c r="G38" s="250">
        <f>ROUND(+'物質収支（いしかわモデル） 【例】'!N16,2)</f>
        <v>80.7</v>
      </c>
      <c r="H38" s="250">
        <f>ROUND(+'物質収支（いしかわモデル） 【例】'!N67,2)</f>
        <v>80.7</v>
      </c>
      <c r="I38" s="233"/>
    </row>
    <row r="39" spans="2:9" ht="16.5" thickBot="1">
      <c r="B39" s="1381"/>
      <c r="C39" s="1387"/>
      <c r="D39" s="1386"/>
      <c r="E39" s="251" t="s">
        <v>94</v>
      </c>
      <c r="F39" s="251" t="s">
        <v>26</v>
      </c>
      <c r="G39" s="252">
        <f>ROUND(+'物質収支（いしかわモデル） 【例】'!N18,2)</f>
        <v>0.6</v>
      </c>
      <c r="H39" s="252">
        <f>ROUND(+'物質収支（いしかわモデル） 【例】'!N69,2)</f>
        <v>0.6</v>
      </c>
      <c r="I39" s="253"/>
    </row>
    <row r="40" spans="2:9" ht="15.75">
      <c r="B40" s="1381"/>
      <c r="C40" s="1383" t="str">
        <f>+③基本情報入力【例】!AU12</f>
        <v>その他処理場</v>
      </c>
      <c r="D40" s="1385" t="str">
        <f>+③基本情報入力【例】!AU13</f>
        <v>濃縮汚泥</v>
      </c>
      <c r="E40" s="246" t="s">
        <v>333</v>
      </c>
      <c r="F40" s="246" t="s">
        <v>2</v>
      </c>
      <c r="G40" s="247">
        <f>ROUND(+'物質収支（いしかわモデル） 【例】'!O8,2)</f>
        <v>0.5</v>
      </c>
      <c r="H40" s="247">
        <f>ROUND(+'物質収支（いしかわモデル） 【例】'!O59,2)</f>
        <v>0.6</v>
      </c>
      <c r="I40" s="248"/>
    </row>
    <row r="41" spans="2:9" ht="15.75">
      <c r="B41" s="1381"/>
      <c r="C41" s="1384"/>
      <c r="D41" s="1385"/>
      <c r="E41" s="249" t="s">
        <v>334</v>
      </c>
      <c r="F41" s="249" t="s">
        <v>220</v>
      </c>
      <c r="G41" s="250">
        <f>G40*365</f>
        <v>182.5</v>
      </c>
      <c r="H41" s="250">
        <f>H40*365</f>
        <v>219</v>
      </c>
      <c r="I41" s="233"/>
    </row>
    <row r="42" spans="2:9">
      <c r="B42" s="1381"/>
      <c r="C42" s="1384"/>
      <c r="D42" s="1385"/>
      <c r="E42" s="249" t="s">
        <v>44</v>
      </c>
      <c r="F42" s="249" t="s">
        <v>21</v>
      </c>
      <c r="G42" s="250">
        <f>ROUND((100-'物質収支（いしかわモデル） 【例】'!O15),2)</f>
        <v>98.9</v>
      </c>
      <c r="H42" s="250">
        <f>ROUND((100-'物質収支（いしかわモデル） 【例】'!O66),2)</f>
        <v>98.9</v>
      </c>
      <c r="I42" s="233"/>
    </row>
    <row r="43" spans="2:9" ht="15.75">
      <c r="B43" s="1381"/>
      <c r="C43" s="1384"/>
      <c r="D43" s="1385"/>
      <c r="E43" s="249" t="s">
        <v>45</v>
      </c>
      <c r="F43" s="249" t="s">
        <v>2</v>
      </c>
      <c r="G43" s="250">
        <f>ROUND(+(100-G42)*G40,2)</f>
        <v>0.55000000000000004</v>
      </c>
      <c r="H43" s="250">
        <f>ROUND(+(100-H42)*H40,2)</f>
        <v>0.66</v>
      </c>
      <c r="I43" s="233"/>
    </row>
    <row r="44" spans="2:9">
      <c r="B44" s="1381"/>
      <c r="C44" s="1384"/>
      <c r="D44" s="1385"/>
      <c r="E44" s="249" t="s">
        <v>92</v>
      </c>
      <c r="F44" s="249" t="s">
        <v>27</v>
      </c>
      <c r="G44" s="250">
        <f>ROUND(+'物質収支（いしかわモデル） 【例】'!O16,2)</f>
        <v>80.7</v>
      </c>
      <c r="H44" s="250">
        <f>ROUND(+'物質収支（いしかわモデル） 【例】'!O67,2)</f>
        <v>80.7</v>
      </c>
      <c r="I44" s="233"/>
    </row>
    <row r="45" spans="2:9" ht="16.5" thickBot="1">
      <c r="B45" s="1381"/>
      <c r="C45" s="1387"/>
      <c r="D45" s="1386"/>
      <c r="E45" s="251" t="s">
        <v>94</v>
      </c>
      <c r="F45" s="251" t="s">
        <v>26</v>
      </c>
      <c r="G45" s="252">
        <f>ROUND(+'物質収支（いしかわモデル） 【例】'!O18,2)</f>
        <v>0.6</v>
      </c>
      <c r="H45" s="252">
        <f>ROUND(+'物質収支（いしかわモデル） 【例】'!O69,2)</f>
        <v>0.6</v>
      </c>
      <c r="I45" s="253"/>
    </row>
    <row r="46" spans="2:9" ht="15.75">
      <c r="B46" s="1381"/>
      <c r="C46" s="1383" t="str">
        <f>+③基本情報入力【例】!L29</f>
        <v>A市・B町・C町</v>
      </c>
      <c r="D46" s="1388" t="str">
        <f>+③基本情報入力【例】!L30</f>
        <v>し尿</v>
      </c>
      <c r="E46" s="246" t="s">
        <v>333</v>
      </c>
      <c r="F46" s="246" t="s">
        <v>2</v>
      </c>
      <c r="G46" s="247">
        <f>+ROUND('物質収支（いしかわモデル） 【例】'!P8,2)</f>
        <v>3</v>
      </c>
      <c r="H46" s="247">
        <f>+ROUND('物質収支（いしかわモデル） 【例】'!P59,2)</f>
        <v>3.6</v>
      </c>
      <c r="I46" s="248"/>
    </row>
    <row r="47" spans="2:9" ht="15.75">
      <c r="B47" s="1381"/>
      <c r="C47" s="1384"/>
      <c r="D47" s="1389"/>
      <c r="E47" s="249" t="s">
        <v>334</v>
      </c>
      <c r="F47" s="249" t="s">
        <v>220</v>
      </c>
      <c r="G47" s="250">
        <f>G46*365</f>
        <v>1095</v>
      </c>
      <c r="H47" s="250">
        <f>H46*365</f>
        <v>1314</v>
      </c>
      <c r="I47" s="233"/>
    </row>
    <row r="48" spans="2:9">
      <c r="B48" s="1381"/>
      <c r="C48" s="1384"/>
      <c r="D48" s="1130"/>
      <c r="E48" s="249" t="s">
        <v>42</v>
      </c>
      <c r="F48" s="249" t="s">
        <v>21</v>
      </c>
      <c r="G48" s="250">
        <f>+'物質収支（いしかわモデル） 【例】'!P15</f>
        <v>2.4</v>
      </c>
      <c r="H48" s="250">
        <f>+'物質収支（いしかわモデル） 【例】'!P66</f>
        <v>2.4</v>
      </c>
      <c r="I48" s="233"/>
    </row>
    <row r="49" spans="2:9">
      <c r="B49" s="1381"/>
      <c r="C49" s="1384"/>
      <c r="D49" s="1130"/>
      <c r="E49" s="249" t="s">
        <v>92</v>
      </c>
      <c r="F49" s="249" t="s">
        <v>27</v>
      </c>
      <c r="G49" s="250">
        <f>+'物質収支（いしかわモデル） 【例】'!P16</f>
        <v>55.6</v>
      </c>
      <c r="H49" s="250">
        <f>+'物質収支（いしかわモデル） 【例】'!P67</f>
        <v>55.6</v>
      </c>
      <c r="I49" s="233"/>
    </row>
    <row r="50" spans="2:9" ht="16.5" thickBot="1">
      <c r="B50" s="1381"/>
      <c r="C50" s="1387"/>
      <c r="D50" s="1390"/>
      <c r="E50" s="251" t="s">
        <v>94</v>
      </c>
      <c r="F50" s="251" t="s">
        <v>26</v>
      </c>
      <c r="G50" s="252">
        <f>+'物質収支（いしかわモデル） 【例】'!P18</f>
        <v>0.8</v>
      </c>
      <c r="H50" s="252">
        <f>+'物質収支（いしかわモデル） 【例】'!P69</f>
        <v>0.8</v>
      </c>
      <c r="I50" s="253"/>
    </row>
    <row r="51" spans="2:9" ht="15.75">
      <c r="B51" s="1381"/>
      <c r="C51" s="1383" t="str">
        <f>+③基本情報入力【例】!Q29</f>
        <v>A市・B町・C町</v>
      </c>
      <c r="D51" s="1388" t="str">
        <f>+③基本情報入力【例】!Q30</f>
        <v>浄化槽汚泥</v>
      </c>
      <c r="E51" s="246" t="s">
        <v>333</v>
      </c>
      <c r="F51" s="246" t="s">
        <v>2</v>
      </c>
      <c r="G51" s="247">
        <f>ROUND('物質収支（いしかわモデル） 【例】'!Q8,2)</f>
        <v>15</v>
      </c>
      <c r="H51" s="247">
        <f>ROUND(+'物質収支（いしかわモデル） 【例】'!Q59,2)</f>
        <v>18</v>
      </c>
      <c r="I51" s="248"/>
    </row>
    <row r="52" spans="2:9" ht="15.75">
      <c r="B52" s="1381"/>
      <c r="C52" s="1384"/>
      <c r="D52" s="1389"/>
      <c r="E52" s="249" t="s">
        <v>334</v>
      </c>
      <c r="F52" s="249" t="s">
        <v>220</v>
      </c>
      <c r="G52" s="250">
        <f>G51*365</f>
        <v>5475</v>
      </c>
      <c r="H52" s="250">
        <f>H51*365</f>
        <v>6570</v>
      </c>
      <c r="I52" s="233"/>
    </row>
    <row r="53" spans="2:9">
      <c r="B53" s="1381"/>
      <c r="C53" s="1384"/>
      <c r="D53" s="1130"/>
      <c r="E53" s="249" t="s">
        <v>42</v>
      </c>
      <c r="F53" s="249" t="s">
        <v>21</v>
      </c>
      <c r="G53" s="250">
        <f>+'物質収支（いしかわモデル） 【例】'!Q15</f>
        <v>1.3</v>
      </c>
      <c r="H53" s="250">
        <f>+'物質収支（いしかわモデル） 【例】'!Q66</f>
        <v>1.3</v>
      </c>
      <c r="I53" s="233"/>
    </row>
    <row r="54" spans="2:9">
      <c r="B54" s="1381"/>
      <c r="C54" s="1384"/>
      <c r="D54" s="1130"/>
      <c r="E54" s="249" t="s">
        <v>92</v>
      </c>
      <c r="F54" s="249" t="s">
        <v>27</v>
      </c>
      <c r="G54" s="250">
        <f>+'物質収支（いしかわモデル） 【例】'!Q16</f>
        <v>78.599999999999994</v>
      </c>
      <c r="H54" s="250">
        <f>+'物質収支（いしかわモデル） 【例】'!Q67</f>
        <v>78.599999999999994</v>
      </c>
      <c r="I54" s="233"/>
    </row>
    <row r="55" spans="2:9" ht="16.5" thickBot="1">
      <c r="B55" s="1381"/>
      <c r="C55" s="1387"/>
      <c r="D55" s="1390"/>
      <c r="E55" s="251" t="s">
        <v>94</v>
      </c>
      <c r="F55" s="251" t="s">
        <v>26</v>
      </c>
      <c r="G55" s="252">
        <f>+'物質収支（いしかわモデル） 【例】'!Q18</f>
        <v>0.8</v>
      </c>
      <c r="H55" s="252">
        <f>+'物質収支（いしかわモデル） 【例】'!Q69</f>
        <v>0.8</v>
      </c>
      <c r="I55" s="253"/>
    </row>
    <row r="56" spans="2:9" ht="15.75">
      <c r="B56" s="1381"/>
      <c r="C56" s="1383" t="str">
        <f>+③基本情報入力【例】!V29</f>
        <v>A市・B町・C町</v>
      </c>
      <c r="D56" s="1388" t="str">
        <f>+③基本情報入力【例】!V30</f>
        <v>集落排水汚泥</v>
      </c>
      <c r="E56" s="246" t="s">
        <v>333</v>
      </c>
      <c r="F56" s="246" t="s">
        <v>2</v>
      </c>
      <c r="G56" s="247">
        <f>+ROUND('物質収支（いしかわモデル） 【例】'!R8,2)</f>
        <v>5</v>
      </c>
      <c r="H56" s="247">
        <f>+ROUND('物質収支（いしかわモデル） 【例】'!R59,2)</f>
        <v>6</v>
      </c>
      <c r="I56" s="248"/>
    </row>
    <row r="57" spans="2:9" ht="15.75">
      <c r="B57" s="1381"/>
      <c r="C57" s="1384"/>
      <c r="D57" s="1389"/>
      <c r="E57" s="249" t="s">
        <v>334</v>
      </c>
      <c r="F57" s="249" t="s">
        <v>220</v>
      </c>
      <c r="G57" s="250">
        <f>G56*365</f>
        <v>1825</v>
      </c>
      <c r="H57" s="250">
        <f>H56*365</f>
        <v>2190</v>
      </c>
      <c r="I57" s="233"/>
    </row>
    <row r="58" spans="2:9">
      <c r="B58" s="1381"/>
      <c r="C58" s="1384"/>
      <c r="D58" s="1130"/>
      <c r="E58" s="249" t="s">
        <v>42</v>
      </c>
      <c r="F58" s="249" t="s">
        <v>21</v>
      </c>
      <c r="G58" s="250">
        <f>+'物質収支（いしかわモデル） 【例】'!R15</f>
        <v>2.2999999999999998</v>
      </c>
      <c r="H58" s="250">
        <f>+'物質収支（いしかわモデル） 【例】'!R66</f>
        <v>2.2999999999999998</v>
      </c>
      <c r="I58" s="233"/>
    </row>
    <row r="59" spans="2:9">
      <c r="B59" s="1381"/>
      <c r="C59" s="1384"/>
      <c r="D59" s="1130"/>
      <c r="E59" s="249" t="s">
        <v>92</v>
      </c>
      <c r="F59" s="249" t="s">
        <v>27</v>
      </c>
      <c r="G59" s="250">
        <f>+ROUND('物質収支（いしかわモデル） 【例】'!R16,2)</f>
        <v>73.599999999999994</v>
      </c>
      <c r="H59" s="250">
        <f>+ROUND('物質収支（いしかわモデル） 【例】'!R67,2)</f>
        <v>73.599999999999994</v>
      </c>
      <c r="I59" s="233"/>
    </row>
    <row r="60" spans="2:9" ht="16.5" thickBot="1">
      <c r="B60" s="1381"/>
      <c r="C60" s="1387"/>
      <c r="D60" s="1390"/>
      <c r="E60" s="251" t="s">
        <v>93</v>
      </c>
      <c r="F60" s="251" t="s">
        <v>26</v>
      </c>
      <c r="G60" s="252">
        <f>+ROUND('物質収支（いしかわモデル） 【例】'!R18,2)</f>
        <v>0.8</v>
      </c>
      <c r="H60" s="252">
        <f>+ROUND('物質収支（いしかわモデル） 【例】'!R69,2)</f>
        <v>0.8</v>
      </c>
      <c r="I60" s="253"/>
    </row>
    <row r="61" spans="2:9" ht="15.75">
      <c r="B61" s="1381"/>
      <c r="C61" s="1383" t="str">
        <f>+③基本情報入力【例】!AA29</f>
        <v>A市・B町・C町</v>
      </c>
      <c r="D61" s="1388" t="str">
        <f>+③基本情報入力【例】!AA30</f>
        <v>生ごみ</v>
      </c>
      <c r="E61" s="246" t="s">
        <v>333</v>
      </c>
      <c r="F61" s="246" t="s">
        <v>2</v>
      </c>
      <c r="G61" s="247">
        <f>ROUND(+'物質収支（いしかわモデル） 【例】'!S8,2)</f>
        <v>4</v>
      </c>
      <c r="H61" s="247">
        <f>ROUND(+'物質収支（いしかわモデル） 【例】'!S59,2)</f>
        <v>4.8</v>
      </c>
      <c r="I61" s="248"/>
    </row>
    <row r="62" spans="2:9" ht="15.75">
      <c r="B62" s="1381"/>
      <c r="C62" s="1384"/>
      <c r="D62" s="1389"/>
      <c r="E62" s="249" t="s">
        <v>334</v>
      </c>
      <c r="F62" s="249" t="s">
        <v>220</v>
      </c>
      <c r="G62" s="250">
        <f>G61*365</f>
        <v>1460</v>
      </c>
      <c r="H62" s="250">
        <f>H61*365</f>
        <v>1752</v>
      </c>
      <c r="I62" s="233"/>
    </row>
    <row r="63" spans="2:9">
      <c r="B63" s="1381"/>
      <c r="C63" s="1384"/>
      <c r="D63" s="1130"/>
      <c r="E63" s="249" t="s">
        <v>42</v>
      </c>
      <c r="F63" s="249" t="s">
        <v>21</v>
      </c>
      <c r="G63" s="250">
        <f>+'物質収支（いしかわモデル） 【例】'!S15</f>
        <v>25.9</v>
      </c>
      <c r="H63" s="250">
        <f>+'物質収支（いしかわモデル） 【例】'!S66</f>
        <v>25.9</v>
      </c>
      <c r="I63" s="233"/>
    </row>
    <row r="64" spans="2:9">
      <c r="B64" s="1381"/>
      <c r="C64" s="1384"/>
      <c r="D64" s="1130"/>
      <c r="E64" s="249" t="s">
        <v>92</v>
      </c>
      <c r="F64" s="249" t="s">
        <v>27</v>
      </c>
      <c r="G64" s="250">
        <f>ROUND('物質収支（いしかわモデル） 【例】'!S16,2)</f>
        <v>87.9</v>
      </c>
      <c r="H64" s="250">
        <f>ROUND(+'物質収支（いしかわモデル） 【例】'!S67,2)</f>
        <v>87.9</v>
      </c>
      <c r="I64" s="233"/>
    </row>
    <row r="65" spans="2:9" ht="16.5" thickBot="1">
      <c r="B65" s="1381"/>
      <c r="C65" s="1387"/>
      <c r="D65" s="1390"/>
      <c r="E65" s="251" t="s">
        <v>93</v>
      </c>
      <c r="F65" s="251" t="s">
        <v>26</v>
      </c>
      <c r="G65" s="252">
        <f>ROUND('物質収支（いしかわモデル） 【例】'!S18,2)</f>
        <v>0.9</v>
      </c>
      <c r="H65" s="252">
        <f>ROUND(+'物質収支（いしかわモデル） 【例】'!S69,2)</f>
        <v>0.9</v>
      </c>
      <c r="I65" s="253"/>
    </row>
    <row r="66" spans="2:9" ht="15.75">
      <c r="B66" s="1381"/>
      <c r="C66" s="1383">
        <f>+③基本情報入力【例】!AF29</f>
        <v>0</v>
      </c>
      <c r="D66" s="1388">
        <f>+③基本情報入力【例】!AF30</f>
        <v>0</v>
      </c>
      <c r="E66" s="246" t="s">
        <v>333</v>
      </c>
      <c r="F66" s="246" t="s">
        <v>2</v>
      </c>
      <c r="G66" s="247">
        <f>ROUND(+'物質収支（いしかわモデル） 【例】'!T8,2)</f>
        <v>0</v>
      </c>
      <c r="H66" s="247">
        <f>ROUND('物質収支（いしかわモデル） 【例】'!T59,2)</f>
        <v>0</v>
      </c>
      <c r="I66" s="248"/>
    </row>
    <row r="67" spans="2:9" ht="15.75">
      <c r="B67" s="1381"/>
      <c r="C67" s="1384"/>
      <c r="D67" s="1389"/>
      <c r="E67" s="249" t="s">
        <v>334</v>
      </c>
      <c r="F67" s="249" t="s">
        <v>220</v>
      </c>
      <c r="G67" s="250">
        <f>G66*365</f>
        <v>0</v>
      </c>
      <c r="H67" s="250">
        <f>H66*365</f>
        <v>0</v>
      </c>
      <c r="I67" s="233"/>
    </row>
    <row r="68" spans="2:9">
      <c r="B68" s="1381"/>
      <c r="C68" s="1384"/>
      <c r="D68" s="1130"/>
      <c r="E68" s="249" t="s">
        <v>42</v>
      </c>
      <c r="F68" s="249" t="s">
        <v>21</v>
      </c>
      <c r="G68" s="250">
        <f>+'物質収支（いしかわモデル） 【例】'!T15</f>
        <v>0</v>
      </c>
      <c r="H68" s="250">
        <f>+'物質収支（いしかわモデル） 【例】'!T66</f>
        <v>0</v>
      </c>
      <c r="I68" s="233"/>
    </row>
    <row r="69" spans="2:9">
      <c r="B69" s="1381"/>
      <c r="C69" s="1384"/>
      <c r="D69" s="1130"/>
      <c r="E69" s="249" t="s">
        <v>92</v>
      </c>
      <c r="F69" s="249" t="s">
        <v>27</v>
      </c>
      <c r="G69" s="250">
        <f>ROUND('物質収支（いしかわモデル） 【例】'!T16,2)</f>
        <v>0</v>
      </c>
      <c r="H69" s="250">
        <f>ROUND(+'物質収支（いしかわモデル） 【例】'!T67,2)</f>
        <v>0</v>
      </c>
      <c r="I69" s="233"/>
    </row>
    <row r="70" spans="2:9" ht="16.5" thickBot="1">
      <c r="B70" s="1381"/>
      <c r="C70" s="1387"/>
      <c r="D70" s="1390"/>
      <c r="E70" s="251" t="s">
        <v>93</v>
      </c>
      <c r="F70" s="251" t="s">
        <v>26</v>
      </c>
      <c r="G70" s="252">
        <f>ROUND('物質収支（いしかわモデル） 【例】'!T18,2)</f>
        <v>0</v>
      </c>
      <c r="H70" s="252">
        <f>ROUND(+'物質収支（いしかわモデル） 【例】'!T69,2)</f>
        <v>0</v>
      </c>
      <c r="I70" s="253"/>
    </row>
    <row r="71" spans="2:9" ht="15.75">
      <c r="B71" s="1381"/>
      <c r="C71" s="1383">
        <f>+③基本情報入力【例】!AK29</f>
        <v>0</v>
      </c>
      <c r="D71" s="1388">
        <f>+③基本情報入力【例】!AK30</f>
        <v>0</v>
      </c>
      <c r="E71" s="246" t="s">
        <v>333</v>
      </c>
      <c r="F71" s="246" t="s">
        <v>2</v>
      </c>
      <c r="G71" s="247">
        <f>ROUND('物質収支（いしかわモデル） 【例】'!U8,2)</f>
        <v>0</v>
      </c>
      <c r="H71" s="247">
        <f>ROUND('物質収支（いしかわモデル） 【例】'!U59,2)</f>
        <v>0</v>
      </c>
      <c r="I71" s="248"/>
    </row>
    <row r="72" spans="2:9" ht="15.75">
      <c r="B72" s="1381"/>
      <c r="C72" s="1384"/>
      <c r="D72" s="1389"/>
      <c r="E72" s="249" t="s">
        <v>334</v>
      </c>
      <c r="F72" s="249" t="s">
        <v>220</v>
      </c>
      <c r="G72" s="250">
        <f>G71*365</f>
        <v>0</v>
      </c>
      <c r="H72" s="250">
        <f>H71*365</f>
        <v>0</v>
      </c>
      <c r="I72" s="233"/>
    </row>
    <row r="73" spans="2:9">
      <c r="B73" s="1381"/>
      <c r="C73" s="1384"/>
      <c r="D73" s="1130"/>
      <c r="E73" s="249" t="s">
        <v>42</v>
      </c>
      <c r="F73" s="249" t="s">
        <v>21</v>
      </c>
      <c r="G73" s="250">
        <f>+'物質収支（いしかわモデル） 【例】'!U15</f>
        <v>0</v>
      </c>
      <c r="H73" s="250">
        <f>+'物質収支（いしかわモデル） 【例】'!U66</f>
        <v>0</v>
      </c>
      <c r="I73" s="233"/>
    </row>
    <row r="74" spans="2:9">
      <c r="B74" s="1381"/>
      <c r="C74" s="1384"/>
      <c r="D74" s="1130"/>
      <c r="E74" s="249" t="s">
        <v>92</v>
      </c>
      <c r="F74" s="249" t="s">
        <v>27</v>
      </c>
      <c r="G74" s="250">
        <f>ROUND('物質収支（いしかわモデル） 【例】'!U16,2)</f>
        <v>0</v>
      </c>
      <c r="H74" s="250">
        <f>ROUND(+'物質収支（いしかわモデル） 【例】'!U67,2)</f>
        <v>0</v>
      </c>
      <c r="I74" s="233"/>
    </row>
    <row r="75" spans="2:9" ht="16.5" thickBot="1">
      <c r="B75" s="1381"/>
      <c r="C75" s="1387"/>
      <c r="D75" s="1390"/>
      <c r="E75" s="251" t="s">
        <v>93</v>
      </c>
      <c r="F75" s="251" t="s">
        <v>26</v>
      </c>
      <c r="G75" s="252">
        <f>ROUND('物質収支（いしかわモデル） 【例】'!U18,2)</f>
        <v>0</v>
      </c>
      <c r="H75" s="252">
        <f>ROUND(+'物質収支（いしかわモデル） 【例】'!U69,2)</f>
        <v>0</v>
      </c>
      <c r="I75" s="253"/>
    </row>
    <row r="76" spans="2:9" ht="15.75">
      <c r="B76" s="1381"/>
      <c r="C76" s="1383">
        <f>+③基本情報入力【例】!AP29</f>
        <v>0</v>
      </c>
      <c r="D76" s="1388">
        <f>+③基本情報入力【例】!AP30</f>
        <v>0</v>
      </c>
      <c r="E76" s="246" t="s">
        <v>333</v>
      </c>
      <c r="F76" s="246" t="s">
        <v>2</v>
      </c>
      <c r="G76" s="247">
        <f>ROUND('物質収支（いしかわモデル） 【例】'!V8,2)</f>
        <v>0</v>
      </c>
      <c r="H76" s="247">
        <f>ROUND(+'物質収支（いしかわモデル） 【例】'!V59,2)</f>
        <v>0</v>
      </c>
      <c r="I76" s="248"/>
    </row>
    <row r="77" spans="2:9" ht="15.75">
      <c r="B77" s="1381"/>
      <c r="C77" s="1384"/>
      <c r="D77" s="1389"/>
      <c r="E77" s="249" t="s">
        <v>334</v>
      </c>
      <c r="F77" s="249" t="s">
        <v>220</v>
      </c>
      <c r="G77" s="250">
        <f>G76*365</f>
        <v>0</v>
      </c>
      <c r="H77" s="250">
        <f>H76*365</f>
        <v>0</v>
      </c>
      <c r="I77" s="233"/>
    </row>
    <row r="78" spans="2:9">
      <c r="B78" s="1381"/>
      <c r="C78" s="1384"/>
      <c r="D78" s="1130"/>
      <c r="E78" s="249" t="s">
        <v>42</v>
      </c>
      <c r="F78" s="249" t="s">
        <v>21</v>
      </c>
      <c r="G78" s="250">
        <f>+'物質収支（いしかわモデル） 【例】'!V15</f>
        <v>0</v>
      </c>
      <c r="H78" s="250">
        <f>+'物質収支（いしかわモデル） 【例】'!V66</f>
        <v>0</v>
      </c>
      <c r="I78" s="233"/>
    </row>
    <row r="79" spans="2:9">
      <c r="B79" s="1381"/>
      <c r="C79" s="1384"/>
      <c r="D79" s="1130"/>
      <c r="E79" s="249" t="s">
        <v>92</v>
      </c>
      <c r="F79" s="249" t="s">
        <v>27</v>
      </c>
      <c r="G79" s="250">
        <f>ROUND('物質収支（いしかわモデル） 【例】'!V16,2)</f>
        <v>0</v>
      </c>
      <c r="H79" s="250">
        <f>ROUND(+'物質収支（いしかわモデル） 【例】'!V67,2)</f>
        <v>0</v>
      </c>
      <c r="I79" s="233"/>
    </row>
    <row r="80" spans="2:9" ht="16.5" thickBot="1">
      <c r="B80" s="1381"/>
      <c r="C80" s="1387"/>
      <c r="D80" s="1390"/>
      <c r="E80" s="251" t="s">
        <v>93</v>
      </c>
      <c r="F80" s="251" t="s">
        <v>26</v>
      </c>
      <c r="G80" s="252">
        <f>ROUND('物質収支（いしかわモデル） 【例】'!V18,2)</f>
        <v>0</v>
      </c>
      <c r="H80" s="252">
        <f>ROUND(+'物質収支（いしかわモデル） 【例】'!V69,2)</f>
        <v>0</v>
      </c>
      <c r="I80" s="253"/>
    </row>
    <row r="81" spans="2:9" ht="15.75">
      <c r="B81" s="1381"/>
      <c r="C81" s="1383">
        <f>+③基本情報入力【例】!AU29</f>
        <v>0</v>
      </c>
      <c r="D81" s="1388">
        <f>+③基本情報入力【例】!AU30</f>
        <v>0</v>
      </c>
      <c r="E81" s="246" t="s">
        <v>333</v>
      </c>
      <c r="F81" s="246" t="s">
        <v>2</v>
      </c>
      <c r="G81" s="247">
        <f>ROUND('物質収支（いしかわモデル） 【例】'!W8,2)</f>
        <v>0</v>
      </c>
      <c r="H81" s="247">
        <f>ROUND(+'物質収支（いしかわモデル） 【例】'!W59,2)</f>
        <v>0</v>
      </c>
      <c r="I81" s="248"/>
    </row>
    <row r="82" spans="2:9" ht="15.75">
      <c r="B82" s="1381"/>
      <c r="C82" s="1384"/>
      <c r="D82" s="1389"/>
      <c r="E82" s="249" t="s">
        <v>334</v>
      </c>
      <c r="F82" s="249" t="s">
        <v>220</v>
      </c>
      <c r="G82" s="250">
        <f>G81*365</f>
        <v>0</v>
      </c>
      <c r="H82" s="250">
        <f>H81*365</f>
        <v>0</v>
      </c>
      <c r="I82" s="233"/>
    </row>
    <row r="83" spans="2:9">
      <c r="B83" s="1381"/>
      <c r="C83" s="1384"/>
      <c r="D83" s="1130"/>
      <c r="E83" s="249" t="s">
        <v>42</v>
      </c>
      <c r="F83" s="249" t="s">
        <v>21</v>
      </c>
      <c r="G83" s="250">
        <f>+'物質収支（いしかわモデル） 【例】'!W15</f>
        <v>0</v>
      </c>
      <c r="H83" s="250">
        <f>+'物質収支（いしかわモデル） 【例】'!W66</f>
        <v>0</v>
      </c>
      <c r="I83" s="233"/>
    </row>
    <row r="84" spans="2:9">
      <c r="B84" s="1381"/>
      <c r="C84" s="1384"/>
      <c r="D84" s="1130"/>
      <c r="E84" s="249" t="s">
        <v>92</v>
      </c>
      <c r="F84" s="249" t="s">
        <v>27</v>
      </c>
      <c r="G84" s="250">
        <f>ROUND('物質収支（いしかわモデル） 【例】'!W16,2)</f>
        <v>0</v>
      </c>
      <c r="H84" s="250">
        <f>ROUND(+'物質収支（いしかわモデル） 【例】'!W67,2)</f>
        <v>0</v>
      </c>
      <c r="I84" s="233"/>
    </row>
    <row r="85" spans="2:9" ht="16.5" thickBot="1">
      <c r="B85" s="1381"/>
      <c r="C85" s="1387"/>
      <c r="D85" s="1390"/>
      <c r="E85" s="251" t="s">
        <v>93</v>
      </c>
      <c r="F85" s="251" t="s">
        <v>26</v>
      </c>
      <c r="G85" s="252">
        <f>ROUND('物質収支（いしかわモデル） 【例】'!W18,2)</f>
        <v>0</v>
      </c>
      <c r="H85" s="252">
        <f>ROUND(+'物質収支（いしかわモデル） 【例】'!W69,2)</f>
        <v>0</v>
      </c>
      <c r="I85" s="253"/>
    </row>
    <row r="86" spans="2:9" ht="15.75">
      <c r="B86" s="1381"/>
      <c r="C86" s="1391" t="s">
        <v>157</v>
      </c>
      <c r="D86" s="1392"/>
      <c r="E86" s="246" t="s">
        <v>333</v>
      </c>
      <c r="F86" s="246" t="s">
        <v>2</v>
      </c>
      <c r="G86" s="247">
        <f>ROUND('物質収支（いしかわモデル） 【例】'!X10,2)</f>
        <v>32.6</v>
      </c>
      <c r="H86" s="247">
        <f>ROUND('物質収支（いしかわモデル） 【例】'!X61,2)</f>
        <v>39.119999999999997</v>
      </c>
      <c r="I86" s="248"/>
    </row>
    <row r="87" spans="2:9" ht="15.75">
      <c r="B87" s="1381"/>
      <c r="C87" s="1393"/>
      <c r="D87" s="1394"/>
      <c r="E87" s="249" t="s">
        <v>334</v>
      </c>
      <c r="F87" s="249" t="s">
        <v>220</v>
      </c>
      <c r="G87" s="250">
        <f>G86*365</f>
        <v>11899</v>
      </c>
      <c r="H87" s="250">
        <f>H86*365</f>
        <v>14278.8</v>
      </c>
      <c r="I87" s="233"/>
    </row>
    <row r="88" spans="2:9">
      <c r="B88" s="1381"/>
      <c r="C88" s="1393"/>
      <c r="D88" s="1394"/>
      <c r="E88" s="249" t="s">
        <v>42</v>
      </c>
      <c r="F88" s="249" t="s">
        <v>21</v>
      </c>
      <c r="G88" s="250">
        <f>ROUND('物質収支（いしかわモデル） 【例】'!X15,2)</f>
        <v>7</v>
      </c>
      <c r="H88" s="250">
        <f>ROUND('物質収支（いしかわモデル） 【例】'!X66,2)</f>
        <v>6.9</v>
      </c>
      <c r="I88" s="233"/>
    </row>
    <row r="89" spans="2:9">
      <c r="B89" s="1381"/>
      <c r="C89" s="1393"/>
      <c r="D89" s="1394"/>
      <c r="E89" s="249" t="s">
        <v>92</v>
      </c>
      <c r="F89" s="249" t="s">
        <v>27</v>
      </c>
      <c r="G89" s="250">
        <f>ROUND('物質収支（いしかわモデル） 【例】'!X16,2)</f>
        <v>82.9</v>
      </c>
      <c r="H89" s="250">
        <f>ROUND('物質収支（いしかわモデル） 【例】'!X67,2)</f>
        <v>82.2</v>
      </c>
      <c r="I89" s="233"/>
    </row>
    <row r="90" spans="2:9" ht="16.5" thickBot="1">
      <c r="B90" s="1382"/>
      <c r="C90" s="1395"/>
      <c r="D90" s="1396"/>
      <c r="E90" s="251" t="s">
        <v>45</v>
      </c>
      <c r="F90" s="251" t="s">
        <v>2</v>
      </c>
      <c r="G90" s="252">
        <f>ROUND(+G86*G88,2)</f>
        <v>228.2</v>
      </c>
      <c r="H90" s="252">
        <f>ROUND(+H86*H88,2)</f>
        <v>269.93</v>
      </c>
      <c r="I90" s="253"/>
    </row>
  </sheetData>
  <mergeCells count="32">
    <mergeCell ref="C61:C65"/>
    <mergeCell ref="D61:D65"/>
    <mergeCell ref="C81:C85"/>
    <mergeCell ref="D81:D85"/>
    <mergeCell ref="C86:D90"/>
    <mergeCell ref="C66:C70"/>
    <mergeCell ref="D66:D70"/>
    <mergeCell ref="C71:C75"/>
    <mergeCell ref="D71:D75"/>
    <mergeCell ref="C76:C80"/>
    <mergeCell ref="D76:D80"/>
    <mergeCell ref="D51:D55"/>
    <mergeCell ref="C56:C60"/>
    <mergeCell ref="D56:D60"/>
    <mergeCell ref="C46:C50"/>
    <mergeCell ref="D46:D50"/>
    <mergeCell ref="B4:B90"/>
    <mergeCell ref="C4:C9"/>
    <mergeCell ref="D4:D9"/>
    <mergeCell ref="C10:C15"/>
    <mergeCell ref="D10:D15"/>
    <mergeCell ref="C16:C21"/>
    <mergeCell ref="D16:D21"/>
    <mergeCell ref="C22:C27"/>
    <mergeCell ref="D22:D27"/>
    <mergeCell ref="C28:C33"/>
    <mergeCell ref="D28:D33"/>
    <mergeCell ref="C34:C39"/>
    <mergeCell ref="D34:D39"/>
    <mergeCell ref="C40:C45"/>
    <mergeCell ref="D40:D45"/>
    <mergeCell ref="C51:C55"/>
  </mergeCells>
  <phoneticPr fontId="2"/>
  <printOptions horizontalCentered="1"/>
  <pageMargins left="0" right="0" top="0.74803149606299213" bottom="0" header="0.31496062992125984" footer="0.31496062992125984"/>
  <pageSetup paperSize="8" scale="93" orientation="portrait" r:id="rId1"/>
  <rowBreaks count="1" manualBreakCount="1">
    <brk id="45"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J255"/>
  <sheetViews>
    <sheetView showGridLines="0" zoomScale="85" zoomScaleNormal="85" workbookViewId="0">
      <selection activeCell="E62" sqref="E62"/>
    </sheetView>
  </sheetViews>
  <sheetFormatPr defaultRowHeight="13.5"/>
  <cols>
    <col min="1" max="1" width="9" style="148"/>
    <col min="2" max="2" width="9" style="58"/>
    <col min="3" max="3" width="23" style="58" customWidth="1"/>
    <col min="4" max="4" width="16.5" style="58" customWidth="1"/>
    <col min="5" max="5" width="9" style="58"/>
    <col min="6" max="6" width="15.5" style="58" customWidth="1"/>
    <col min="7" max="7" width="15.125" style="58" bestFit="1" customWidth="1"/>
    <col min="8" max="8" width="26" style="58" bestFit="1" customWidth="1"/>
    <col min="9" max="9" width="11" style="58" bestFit="1" customWidth="1"/>
    <col min="10" max="10" width="10" style="58" bestFit="1" customWidth="1"/>
    <col min="11" max="11" width="11.625" style="58" bestFit="1" customWidth="1"/>
    <col min="12" max="17" width="9" style="58"/>
    <col min="18" max="18" width="43" style="58" bestFit="1" customWidth="1"/>
    <col min="19" max="25" width="9" style="58"/>
    <col min="26" max="26" width="24.125" style="58" bestFit="1" customWidth="1"/>
    <col min="27" max="16384" width="9" style="58"/>
  </cols>
  <sheetData>
    <row r="1" spans="2:18">
      <c r="J1" s="75"/>
      <c r="K1" s="75"/>
      <c r="L1" s="75"/>
      <c r="M1" s="630"/>
    </row>
    <row r="2" spans="2:18">
      <c r="B2" t="s">
        <v>229</v>
      </c>
      <c r="C2" s="58" t="s">
        <v>721</v>
      </c>
      <c r="J2" s="73"/>
      <c r="K2" s="147"/>
      <c r="L2" s="73"/>
      <c r="M2" s="73"/>
    </row>
    <row r="3" spans="2:18">
      <c r="B3" s="148" t="str">
        <f>+③基本情報入力【例】!E51</f>
        <v>①</v>
      </c>
      <c r="C3" s="1232" t="str">
        <f>+③基本情報入力【例】!E52</f>
        <v>A市浄化センター</v>
      </c>
      <c r="D3" s="1232"/>
    </row>
    <row r="4" spans="2:18">
      <c r="B4" s="400" t="s">
        <v>230</v>
      </c>
      <c r="C4" s="383" t="s">
        <v>231</v>
      </c>
      <c r="D4" s="383" t="s">
        <v>232</v>
      </c>
      <c r="E4" s="383" t="s">
        <v>233</v>
      </c>
      <c r="F4" s="383" t="s">
        <v>234</v>
      </c>
      <c r="G4" s="1415" t="s">
        <v>235</v>
      </c>
      <c r="H4" s="1415"/>
      <c r="I4" s="1415" t="s">
        <v>236</v>
      </c>
      <c r="J4" s="1415"/>
      <c r="K4" s="1415" t="s">
        <v>237</v>
      </c>
      <c r="L4" s="1415"/>
      <c r="M4" s="1416" t="s">
        <v>291</v>
      </c>
      <c r="N4" s="1416"/>
      <c r="O4" s="77" t="s">
        <v>238</v>
      </c>
      <c r="P4" s="77" t="s">
        <v>239</v>
      </c>
      <c r="Q4" s="77" t="s">
        <v>240</v>
      </c>
      <c r="R4" s="383" t="s">
        <v>97</v>
      </c>
    </row>
    <row r="5" spans="2:18" ht="15.75">
      <c r="B5" s="1417"/>
      <c r="C5" s="1419" t="s">
        <v>241</v>
      </c>
      <c r="D5" s="1221" t="s">
        <v>242</v>
      </c>
      <c r="E5" s="404">
        <f>IF(③基本情報入力【例】!E53:I53=0,1,③基本情報入力【例】!E53)</f>
        <v>1</v>
      </c>
      <c r="F5" s="78" t="s">
        <v>3</v>
      </c>
      <c r="G5" s="79" t="s">
        <v>11</v>
      </c>
      <c r="H5" s="79" t="s">
        <v>653</v>
      </c>
      <c r="I5" s="80">
        <f t="shared" ref="I5:I36" si="0">K5*(1-O5)*(P5+P5/((P5+1)^Q5-1))</f>
        <v>0.8199291887660225</v>
      </c>
      <c r="J5" s="72" t="s">
        <v>124</v>
      </c>
      <c r="K5" s="70">
        <f>1.31*M5^0.611*E5</f>
        <v>14.474270121572555</v>
      </c>
      <c r="L5" s="79" t="s">
        <v>120</v>
      </c>
      <c r="M5" s="80">
        <f>IFERROR('計算条件（いしかわモデル）【例】'!H7/E5,0)</f>
        <v>51</v>
      </c>
      <c r="N5" s="1221" t="s">
        <v>243</v>
      </c>
      <c r="O5" s="81">
        <f>+③基本情報入力【例】!$Y$61</f>
        <v>0.1</v>
      </c>
      <c r="P5" s="82">
        <f>+③基本情報入力【例】!$AB$61</f>
        <v>2.3E-2</v>
      </c>
      <c r="Q5" s="83">
        <f>+③基本情報入力【例】!$AE$61</f>
        <v>20</v>
      </c>
      <c r="R5" s="72" t="s">
        <v>244</v>
      </c>
    </row>
    <row r="6" spans="2:18" ht="15.75">
      <c r="B6" s="1417"/>
      <c r="C6" s="1419"/>
      <c r="D6" s="1221"/>
      <c r="E6" s="407">
        <v>0</v>
      </c>
      <c r="F6" s="78" t="s">
        <v>8</v>
      </c>
      <c r="G6" s="79" t="s">
        <v>11</v>
      </c>
      <c r="H6" s="79" t="s">
        <v>654</v>
      </c>
      <c r="I6" s="80">
        <f t="shared" si="0"/>
        <v>0</v>
      </c>
      <c r="J6" s="72" t="s">
        <v>124</v>
      </c>
      <c r="K6" s="70">
        <f>1.24*M6^0.598*E6</f>
        <v>0</v>
      </c>
      <c r="L6" s="79" t="s">
        <v>120</v>
      </c>
      <c r="M6" s="80">
        <f>+M5</f>
        <v>51</v>
      </c>
      <c r="N6" s="1221"/>
      <c r="O6" s="81">
        <f>+③基本情報入力【例】!$Y$63</f>
        <v>0.1</v>
      </c>
      <c r="P6" s="84">
        <f>+③基本情報入力【例】!$AB$63</f>
        <v>2.3E-2</v>
      </c>
      <c r="Q6" s="83">
        <f>+③基本情報入力【例】!$AE$63</f>
        <v>40</v>
      </c>
      <c r="R6" s="72" t="s">
        <v>244</v>
      </c>
    </row>
    <row r="7" spans="2:18" ht="15.75">
      <c r="B7" s="1417"/>
      <c r="C7" s="1419" t="s">
        <v>611</v>
      </c>
      <c r="D7" s="1221" t="s">
        <v>689</v>
      </c>
      <c r="E7" s="404">
        <f>IF(③基本情報入力【例】!E54:I54=0,1,③基本情報入力【例】!E54)</f>
        <v>1</v>
      </c>
      <c r="F7" s="78" t="s">
        <v>3</v>
      </c>
      <c r="G7" s="79" t="s">
        <v>11</v>
      </c>
      <c r="H7" s="79" t="s">
        <v>655</v>
      </c>
      <c r="I7" s="80">
        <f t="shared" si="0"/>
        <v>11.753797361749221</v>
      </c>
      <c r="J7" s="72" t="s">
        <v>124</v>
      </c>
      <c r="K7" s="70">
        <f>22.7*M7^0.444*E7</f>
        <v>207.4906471182272</v>
      </c>
      <c r="L7" s="79" t="s">
        <v>120</v>
      </c>
      <c r="M7" s="80">
        <f>IFERROR('物質収支（いしかわモデル） 【例】'!X83*100/E7,0)</f>
        <v>146</v>
      </c>
      <c r="N7" s="1221" t="s">
        <v>243</v>
      </c>
      <c r="O7" s="81">
        <f>+③基本情報入力【例】!$Y$61</f>
        <v>0.1</v>
      </c>
      <c r="P7" s="82">
        <f>+③基本情報入力【例】!$AB$61</f>
        <v>2.3E-2</v>
      </c>
      <c r="Q7" s="83">
        <f>+③基本情報入力【例】!$AE$61</f>
        <v>20</v>
      </c>
      <c r="R7" s="72" t="s">
        <v>244</v>
      </c>
    </row>
    <row r="8" spans="2:18" ht="15.75">
      <c r="B8" s="1417"/>
      <c r="C8" s="1419"/>
      <c r="D8" s="1221"/>
      <c r="E8" s="407">
        <v>0</v>
      </c>
      <c r="F8" s="78" t="s">
        <v>8</v>
      </c>
      <c r="G8" s="79" t="s">
        <v>11</v>
      </c>
      <c r="H8" s="79" t="s">
        <v>656</v>
      </c>
      <c r="I8" s="80">
        <f t="shared" si="0"/>
        <v>0</v>
      </c>
      <c r="J8" s="72" t="s">
        <v>124</v>
      </c>
      <c r="K8" s="70">
        <f>43.4*M8^0.373*E8</f>
        <v>0</v>
      </c>
      <c r="L8" s="79" t="s">
        <v>120</v>
      </c>
      <c r="M8" s="80">
        <f>+M7</f>
        <v>146</v>
      </c>
      <c r="N8" s="1221"/>
      <c r="O8" s="81">
        <f>+③基本情報入力【例】!$Y$63</f>
        <v>0.1</v>
      </c>
      <c r="P8" s="84">
        <f>+③基本情報入力【例】!$AB$63</f>
        <v>2.3E-2</v>
      </c>
      <c r="Q8" s="83">
        <f>+③基本情報入力【例】!$AE$63</f>
        <v>40</v>
      </c>
      <c r="R8" s="72" t="s">
        <v>244</v>
      </c>
    </row>
    <row r="9" spans="2:18" ht="15.75">
      <c r="B9" s="1417"/>
      <c r="C9" s="384" t="s">
        <v>246</v>
      </c>
      <c r="D9" s="72"/>
      <c r="E9" s="404">
        <f>E5/E5</f>
        <v>1</v>
      </c>
      <c r="F9" s="384" t="s">
        <v>4</v>
      </c>
      <c r="G9" s="79" t="s">
        <v>11</v>
      </c>
      <c r="H9" s="72" t="s">
        <v>657</v>
      </c>
      <c r="I9" s="80">
        <f t="shared" si="0"/>
        <v>17.125181740151834</v>
      </c>
      <c r="J9" s="72" t="s">
        <v>124</v>
      </c>
      <c r="K9" s="69">
        <f>17.8*M9^0.464*E9</f>
        <v>239.09626332873222</v>
      </c>
      <c r="L9" s="72" t="s">
        <v>120</v>
      </c>
      <c r="M9" s="80">
        <f>IFERROR('物質収支（いしかわモデル） 【例】'!X62*100/E9,0)</f>
        <v>270</v>
      </c>
      <c r="N9" s="385" t="s">
        <v>243</v>
      </c>
      <c r="O9" s="81">
        <f>+③基本情報入力【例】!$Y$62</f>
        <v>0.1</v>
      </c>
      <c r="P9" s="84">
        <f>+③基本情報入力【例】!$AB$62</f>
        <v>2.3E-2</v>
      </c>
      <c r="Q9" s="83">
        <f>+③基本情報入力【例】!$AE$62</f>
        <v>15</v>
      </c>
      <c r="R9" s="72" t="s">
        <v>247</v>
      </c>
    </row>
    <row r="10" spans="2:18" ht="15.75">
      <c r="B10" s="1417"/>
      <c r="C10" s="1407" t="s">
        <v>100</v>
      </c>
      <c r="D10" s="1408"/>
      <c r="E10" s="404">
        <v>1</v>
      </c>
      <c r="F10" s="384" t="s">
        <v>3</v>
      </c>
      <c r="G10" s="79" t="s">
        <v>11</v>
      </c>
      <c r="H10" s="72" t="s">
        <v>132</v>
      </c>
      <c r="I10" s="80">
        <f t="shared" si="0"/>
        <v>2.0463679145665679</v>
      </c>
      <c r="J10" s="72" t="s">
        <v>124</v>
      </c>
      <c r="K10" s="69">
        <f>8.26*M10^0.4*E10</f>
        <v>36.124682923085906</v>
      </c>
      <c r="L10" s="72" t="s">
        <v>120</v>
      </c>
      <c r="M10" s="80">
        <f>IFERROR('施設規模の設定（いしかわモデル）【例】'!G11/E10,0)</f>
        <v>40</v>
      </c>
      <c r="N10" s="385" t="s">
        <v>1</v>
      </c>
      <c r="O10" s="81">
        <f>+③基本情報入力【例】!$Y$61</f>
        <v>0.1</v>
      </c>
      <c r="P10" s="82">
        <f>+③基本情報入力【例】!$AB$61</f>
        <v>2.3E-2</v>
      </c>
      <c r="Q10" s="83">
        <f>+③基本情報入力【例】!$AE$61</f>
        <v>20</v>
      </c>
      <c r="R10" s="72" t="s">
        <v>248</v>
      </c>
    </row>
    <row r="11" spans="2:18" ht="15.75">
      <c r="B11" s="1417"/>
      <c r="C11" s="1407"/>
      <c r="D11" s="1408"/>
      <c r="E11" s="404">
        <v>1</v>
      </c>
      <c r="F11" s="384" t="s">
        <v>4</v>
      </c>
      <c r="G11" s="79" t="s">
        <v>11</v>
      </c>
      <c r="H11" s="72" t="s">
        <v>318</v>
      </c>
      <c r="I11" s="80">
        <f t="shared" si="0"/>
        <v>0.43089432370385589</v>
      </c>
      <c r="J11" s="72" t="s">
        <v>124</v>
      </c>
      <c r="K11" s="69">
        <f>0.836*M11^0.535*E11</f>
        <v>6.0160075525271282</v>
      </c>
      <c r="L11" s="72" t="s">
        <v>120</v>
      </c>
      <c r="M11" s="80">
        <f>+M10</f>
        <v>40</v>
      </c>
      <c r="N11" s="385" t="s">
        <v>1</v>
      </c>
      <c r="O11" s="81">
        <f>+③基本情報入力【例】!$Y$62</f>
        <v>0.1</v>
      </c>
      <c r="P11" s="84">
        <f>+③基本情報入力【例】!$AB$62</f>
        <v>2.3E-2</v>
      </c>
      <c r="Q11" s="83">
        <f>+③基本情報入力【例】!$AE$62</f>
        <v>15</v>
      </c>
      <c r="R11" s="72"/>
    </row>
    <row r="12" spans="2:18" ht="15.75">
      <c r="B12" s="1417"/>
      <c r="C12" s="1407"/>
      <c r="D12" s="1408"/>
      <c r="E12" s="407">
        <v>1</v>
      </c>
      <c r="F12" s="384" t="s">
        <v>6</v>
      </c>
      <c r="G12" s="79" t="s">
        <v>11</v>
      </c>
      <c r="H12" s="72" t="s">
        <v>133</v>
      </c>
      <c r="I12" s="80">
        <f t="shared" si="0"/>
        <v>0.60280143636208472</v>
      </c>
      <c r="J12" s="72" t="s">
        <v>124</v>
      </c>
      <c r="K12" s="69">
        <f>2.01*M12^0.585*E12</f>
        <v>17.394067550774913</v>
      </c>
      <c r="L12" s="72" t="s">
        <v>120</v>
      </c>
      <c r="M12" s="80">
        <f>+M10</f>
        <v>40</v>
      </c>
      <c r="N12" s="385" t="s">
        <v>1</v>
      </c>
      <c r="O12" s="81">
        <f>+③基本情報入力【例】!$Y$63</f>
        <v>0.1</v>
      </c>
      <c r="P12" s="84">
        <f>+③基本情報入力【例】!$AB$63</f>
        <v>2.3E-2</v>
      </c>
      <c r="Q12" s="83">
        <f>+③基本情報入力【例】!$AE$63</f>
        <v>40</v>
      </c>
      <c r="R12" s="72"/>
    </row>
    <row r="13" spans="2:18" ht="15.75">
      <c r="B13" s="1417"/>
      <c r="C13" s="1542" t="s">
        <v>637</v>
      </c>
      <c r="D13" s="1543" t="s">
        <v>810</v>
      </c>
      <c r="E13" s="404">
        <v>1</v>
      </c>
      <c r="F13" s="384" t="s">
        <v>3</v>
      </c>
      <c r="G13" s="588" t="s">
        <v>681</v>
      </c>
      <c r="H13" s="611" t="s">
        <v>806</v>
      </c>
      <c r="I13" s="80">
        <f t="shared" si="0"/>
        <v>19.044842396045301</v>
      </c>
      <c r="J13" s="72" t="s">
        <v>124</v>
      </c>
      <c r="K13" s="69">
        <f>410*M13*E13/1000</f>
        <v>336.2</v>
      </c>
      <c r="L13" s="72" t="s">
        <v>120</v>
      </c>
      <c r="M13" s="85">
        <f>IFERROR('施設規模の設定（いしかわモデル）【例】'!G14/E13,0)</f>
        <v>820</v>
      </c>
      <c r="N13" s="385" t="s">
        <v>1</v>
      </c>
      <c r="O13" s="81">
        <f>+③基本情報入力【例】!$Y$61</f>
        <v>0.1</v>
      </c>
      <c r="P13" s="82">
        <f>+③基本情報入力【例】!$AB$61</f>
        <v>2.3E-2</v>
      </c>
      <c r="Q13" s="83">
        <f>+③基本情報入力【例】!$AE$61</f>
        <v>20</v>
      </c>
      <c r="R13" s="72" t="s">
        <v>695</v>
      </c>
    </row>
    <row r="14" spans="2:18" ht="15.75">
      <c r="B14" s="1417"/>
      <c r="C14" s="1542"/>
      <c r="D14" s="1408"/>
      <c r="E14" s="407">
        <v>1</v>
      </c>
      <c r="F14" s="384" t="s">
        <v>8</v>
      </c>
      <c r="G14" s="588" t="s">
        <v>683</v>
      </c>
      <c r="H14" s="611" t="s">
        <v>807</v>
      </c>
      <c r="I14" s="80">
        <f t="shared" si="0"/>
        <v>1.989230083543178</v>
      </c>
      <c r="J14" s="72" t="s">
        <v>124</v>
      </c>
      <c r="K14" s="69">
        <f>70*M14*E14/1000</f>
        <v>57.4</v>
      </c>
      <c r="L14" s="72" t="s">
        <v>120</v>
      </c>
      <c r="M14" s="85">
        <f>+M13</f>
        <v>820</v>
      </c>
      <c r="N14" s="385" t="s">
        <v>1</v>
      </c>
      <c r="O14" s="81">
        <f>+③基本情報入力【例】!$Y$63</f>
        <v>0.1</v>
      </c>
      <c r="P14" s="84">
        <f>+③基本情報入力【例】!$AB$63</f>
        <v>2.3E-2</v>
      </c>
      <c r="Q14" s="83">
        <f>+③基本情報入力【例】!$AE$63</f>
        <v>40</v>
      </c>
      <c r="R14" s="86"/>
    </row>
    <row r="15" spans="2:18" ht="15.75">
      <c r="B15" s="1417"/>
      <c r="C15" s="1513" t="s">
        <v>9</v>
      </c>
      <c r="D15" s="1347" t="s">
        <v>679</v>
      </c>
      <c r="E15" s="404">
        <v>1</v>
      </c>
      <c r="F15" s="384" t="s">
        <v>3</v>
      </c>
      <c r="G15" s="588" t="s">
        <v>681</v>
      </c>
      <c r="H15" s="611" t="s">
        <v>805</v>
      </c>
      <c r="I15" s="80">
        <f t="shared" si="0"/>
        <v>2.4924838352944474</v>
      </c>
      <c r="J15" s="72" t="s">
        <v>124</v>
      </c>
      <c r="K15" s="69">
        <f>100*M15*E15/1000</f>
        <v>44</v>
      </c>
      <c r="L15" s="72" t="s">
        <v>120</v>
      </c>
      <c r="M15" s="146">
        <f>IFERROR('施設規模の設定（いしかわモデル）【例】'!G17/E15,0)</f>
        <v>440</v>
      </c>
      <c r="N15" s="385" t="s">
        <v>1</v>
      </c>
      <c r="O15" s="81">
        <f>+③基本情報入力【例】!$Y$61</f>
        <v>0.1</v>
      </c>
      <c r="P15" s="82">
        <f>+③基本情報入力【例】!$AB$61</f>
        <v>2.3E-2</v>
      </c>
      <c r="Q15" s="83">
        <f>+③基本情報入力【例】!$AE$61</f>
        <v>20</v>
      </c>
      <c r="R15" s="74" t="s">
        <v>251</v>
      </c>
    </row>
    <row r="16" spans="2:18" ht="15.75">
      <c r="B16" s="1417"/>
      <c r="C16" s="1514"/>
      <c r="D16" s="1349"/>
      <c r="E16" s="521">
        <v>1</v>
      </c>
      <c r="F16" s="516" t="s">
        <v>680</v>
      </c>
      <c r="G16" s="588" t="s">
        <v>682</v>
      </c>
      <c r="H16" s="611" t="s">
        <v>804</v>
      </c>
      <c r="I16" s="80">
        <f>K16*(1-O16)*(P16+P16/((P16+1)^Q16-1))</f>
        <v>0.74774515058833413</v>
      </c>
      <c r="J16" s="72" t="s">
        <v>124</v>
      </c>
      <c r="K16" s="69">
        <f>30*M16*E16/1000</f>
        <v>13.2</v>
      </c>
      <c r="L16" s="72" t="s">
        <v>120</v>
      </c>
      <c r="M16" s="146">
        <f>IFERROR('施設規模の設定（いしかわモデル）【例】'!G17/E16,0)</f>
        <v>440</v>
      </c>
      <c r="N16" s="515" t="s">
        <v>1</v>
      </c>
      <c r="O16" s="81">
        <f>+⑤基本情報入力!$Y$61</f>
        <v>0.1</v>
      </c>
      <c r="P16" s="82">
        <f>+⑤基本情報入力!$AB$61</f>
        <v>2.3E-2</v>
      </c>
      <c r="Q16" s="83">
        <f>+⑤基本情報入力!$AE$61</f>
        <v>20</v>
      </c>
      <c r="R16" s="74"/>
    </row>
    <row r="17" spans="1:22" ht="15.75">
      <c r="B17" s="1417"/>
      <c r="C17" s="586" t="s">
        <v>16</v>
      </c>
      <c r="D17" s="72"/>
      <c r="E17" s="404">
        <v>1</v>
      </c>
      <c r="F17" s="384" t="s">
        <v>3</v>
      </c>
      <c r="G17" s="589" t="s">
        <v>11</v>
      </c>
      <c r="H17" s="589" t="s">
        <v>778</v>
      </c>
      <c r="I17" s="80">
        <f t="shared" si="0"/>
        <v>0.77638243604219159</v>
      </c>
      <c r="J17" s="72" t="s">
        <v>124</v>
      </c>
      <c r="K17" s="69">
        <f>0.878*M17^0.761*E17</f>
        <v>13.70553610102786</v>
      </c>
      <c r="L17" s="72" t="s">
        <v>120</v>
      </c>
      <c r="M17" s="146">
        <f>IFERROR('施設規模の設定（いしかわモデル）【例】'!G18/E17,0)</f>
        <v>37</v>
      </c>
      <c r="N17" s="385" t="s">
        <v>298</v>
      </c>
      <c r="O17" s="81">
        <f>+③基本情報入力【例】!$Y$61</f>
        <v>0.1</v>
      </c>
      <c r="P17" s="82">
        <f>+③基本情報入力【例】!$AB$61</f>
        <v>2.3E-2</v>
      </c>
      <c r="Q17" s="83">
        <f>+③基本情報入力【例】!$AE$61</f>
        <v>20</v>
      </c>
      <c r="R17" s="74" t="s">
        <v>252</v>
      </c>
    </row>
    <row r="18" spans="1:22" ht="15.75">
      <c r="A18" s="58"/>
      <c r="B18" s="1417"/>
      <c r="C18" s="1509" t="s">
        <v>10</v>
      </c>
      <c r="D18" s="1412"/>
      <c r="E18" s="404" t="str">
        <f>IF(③基本情報入力【例】!E94="〇","1","0")</f>
        <v>1</v>
      </c>
      <c r="F18" s="384" t="s">
        <v>3</v>
      </c>
      <c r="G18" s="589" t="s">
        <v>11</v>
      </c>
      <c r="H18" s="589" t="s">
        <v>779</v>
      </c>
      <c r="I18" s="80">
        <f t="shared" si="0"/>
        <v>13.940668743366135</v>
      </c>
      <c r="J18" s="72" t="s">
        <v>124</v>
      </c>
      <c r="K18" s="69">
        <f>31.9*M18^0.971*E18</f>
        <v>246.09564805287803</v>
      </c>
      <c r="L18" s="72" t="s">
        <v>120</v>
      </c>
      <c r="M18" s="80">
        <f>IFERROR('施設規模の設定（いしかわモデル）【例】'!G22/E18,0)</f>
        <v>8.1999999999999993</v>
      </c>
      <c r="N18" s="385" t="s">
        <v>0</v>
      </c>
      <c r="O18" s="81">
        <f>+③基本情報入力【例】!$Y$61</f>
        <v>0.1</v>
      </c>
      <c r="P18" s="82">
        <f>+③基本情報入力【例】!$AB$61</f>
        <v>2.3E-2</v>
      </c>
      <c r="Q18" s="83">
        <f>+③基本情報入力【例】!$AE$61</f>
        <v>20</v>
      </c>
      <c r="R18" s="72" t="s">
        <v>253</v>
      </c>
    </row>
    <row r="19" spans="1:22" ht="15.75" customHeight="1">
      <c r="A19" s="58"/>
      <c r="B19" s="1417"/>
      <c r="C19" s="1510"/>
      <c r="D19" s="1413"/>
      <c r="E19" s="521" t="str">
        <f>IF(③基本情報入力【例】!E94="〇","1","0")</f>
        <v>1</v>
      </c>
      <c r="F19" s="384" t="s">
        <v>4</v>
      </c>
      <c r="G19" s="589" t="s">
        <v>11</v>
      </c>
      <c r="H19" s="589" t="s">
        <v>780</v>
      </c>
      <c r="I19" s="80">
        <f t="shared" si="0"/>
        <v>2.5895435630575365</v>
      </c>
      <c r="J19" s="72" t="s">
        <v>124</v>
      </c>
      <c r="K19" s="69">
        <f>6.59*M19^0.809*E19</f>
        <v>36.154371909663531</v>
      </c>
      <c r="L19" s="72" t="s">
        <v>120</v>
      </c>
      <c r="M19" s="80">
        <f>+M18</f>
        <v>8.1999999999999993</v>
      </c>
      <c r="N19" s="385" t="s">
        <v>0</v>
      </c>
      <c r="O19" s="81">
        <f>+③基本情報入力【例】!$Y$62</f>
        <v>0.1</v>
      </c>
      <c r="P19" s="84">
        <f>+③基本情報入力【例】!$AB$62</f>
        <v>2.3E-2</v>
      </c>
      <c r="Q19" s="83">
        <f>+③基本情報入力【例】!$AE$62</f>
        <v>15</v>
      </c>
      <c r="R19" s="72"/>
    </row>
    <row r="20" spans="1:22" ht="15.75">
      <c r="A20" s="58"/>
      <c r="B20" s="1417"/>
      <c r="C20" s="1511"/>
      <c r="D20" s="1414"/>
      <c r="E20" s="521" t="str">
        <f>IF(③基本情報入力【例】!E94="〇","1","0")</f>
        <v>1</v>
      </c>
      <c r="F20" s="384" t="s">
        <v>5</v>
      </c>
      <c r="G20" s="589" t="s">
        <v>11</v>
      </c>
      <c r="H20" s="589" t="s">
        <v>781</v>
      </c>
      <c r="I20" s="80">
        <f t="shared" si="0"/>
        <v>3.0872874868135991</v>
      </c>
      <c r="J20" s="72" t="s">
        <v>124</v>
      </c>
      <c r="K20" s="69">
        <f>12.3*M20^0.941*E20</f>
        <v>89.084869170818607</v>
      </c>
      <c r="L20" s="72" t="s">
        <v>120</v>
      </c>
      <c r="M20" s="80">
        <f>+M18</f>
        <v>8.1999999999999993</v>
      </c>
      <c r="N20" s="385" t="s">
        <v>0</v>
      </c>
      <c r="O20" s="81">
        <f>+③基本情報入力【例】!$Y$63</f>
        <v>0.1</v>
      </c>
      <c r="P20" s="84">
        <f>+③基本情報入力【例】!$AB$63</f>
        <v>2.3E-2</v>
      </c>
      <c r="Q20" s="83">
        <f>+③基本情報入力【例】!$AE$63</f>
        <v>40</v>
      </c>
      <c r="R20" s="72"/>
    </row>
    <row r="21" spans="1:22" ht="15.75">
      <c r="A21" s="58"/>
      <c r="B21" s="1417"/>
      <c r="C21" s="586" t="s">
        <v>522</v>
      </c>
      <c r="D21" s="406" t="s">
        <v>570</v>
      </c>
      <c r="E21" s="407" t="str">
        <f>+IF(③基本情報入力【例】!E98="〇","1","0")</f>
        <v>0</v>
      </c>
      <c r="F21" s="384" t="s">
        <v>3</v>
      </c>
      <c r="G21" s="589" t="s">
        <v>11</v>
      </c>
      <c r="H21" s="589" t="s">
        <v>801</v>
      </c>
      <c r="I21" s="80">
        <f>K21*(1-O21)*(P21+P21/((P21+1)^Q21-1))</f>
        <v>0</v>
      </c>
      <c r="J21" s="72" t="s">
        <v>124</v>
      </c>
      <c r="K21" s="69">
        <f>65*(M21/102)^0.6*E21</f>
        <v>0</v>
      </c>
      <c r="L21" s="72" t="s">
        <v>120</v>
      </c>
      <c r="M21" s="80">
        <f>IFERROR(SUM('物質収支（いしかわモデル） 【例】'!I59:O59)/24*1000,0)</f>
        <v>279.99999999999994</v>
      </c>
      <c r="N21" s="385" t="s">
        <v>799</v>
      </c>
      <c r="O21" s="81">
        <f>+③基本情報入力【例】!$Y$61</f>
        <v>0.1</v>
      </c>
      <c r="P21" s="82">
        <f>+③基本情報入力【例】!$AB$61</f>
        <v>2.3E-2</v>
      </c>
      <c r="Q21" s="83">
        <f>U28</f>
        <v>10</v>
      </c>
      <c r="R21" s="72" t="s">
        <v>800</v>
      </c>
      <c r="T21" s="58" t="s">
        <v>528</v>
      </c>
    </row>
    <row r="22" spans="1:22" ht="45">
      <c r="A22" s="58"/>
      <c r="B22" s="1417"/>
      <c r="C22" s="1513" t="s">
        <v>254</v>
      </c>
      <c r="D22" s="1412"/>
      <c r="E22" s="407">
        <v>1</v>
      </c>
      <c r="F22" s="384" t="s">
        <v>3</v>
      </c>
      <c r="G22" s="588" t="s">
        <v>11</v>
      </c>
      <c r="H22" s="629" t="s">
        <v>797</v>
      </c>
      <c r="I22" s="80">
        <f t="shared" si="0"/>
        <v>3.9653151925138936</v>
      </c>
      <c r="J22" s="72" t="s">
        <v>124</v>
      </c>
      <c r="K22" s="69">
        <f>IF(AND(M22&gt;30,M22&lt;=200),137.2*M22^0.195*E22,IF(AND(M22&gt;0,M22&lt;=30),70*E22,"0"))</f>
        <v>70</v>
      </c>
      <c r="L22" s="72" t="s">
        <v>120</v>
      </c>
      <c r="M22" s="80">
        <f>IFERROR(('計算条件（いしかわモデル）【例】'!H46+'計算条件（いしかわモデル）【例】'!H51)/E22,0)</f>
        <v>21.6</v>
      </c>
      <c r="N22" s="385" t="s">
        <v>255</v>
      </c>
      <c r="O22" s="81">
        <f>+③基本情報入力【例】!$Y$61</f>
        <v>0.1</v>
      </c>
      <c r="P22" s="82">
        <f>+③基本情報入力【例】!$AB$61</f>
        <v>2.3E-2</v>
      </c>
      <c r="Q22" s="83">
        <f>+③基本情報入力【例】!$AE$61</f>
        <v>20</v>
      </c>
      <c r="R22" s="72" t="s">
        <v>803</v>
      </c>
      <c r="T22" s="72" t="s">
        <v>523</v>
      </c>
      <c r="U22" s="72">
        <v>4.09</v>
      </c>
      <c r="V22" s="72" t="s">
        <v>69</v>
      </c>
    </row>
    <row r="23" spans="1:22" ht="15.75">
      <c r="A23" s="58"/>
      <c r="B23" s="1417"/>
      <c r="C23" s="1533"/>
      <c r="D23" s="1413"/>
      <c r="E23" s="407">
        <v>1</v>
      </c>
      <c r="F23" s="384" t="s">
        <v>4</v>
      </c>
      <c r="G23" s="589" t="s">
        <v>11</v>
      </c>
      <c r="H23" s="589" t="s">
        <v>782</v>
      </c>
      <c r="I23" s="80">
        <f t="shared" si="0"/>
        <v>5.332716976456287</v>
      </c>
      <c r="J23" s="72" t="s">
        <v>124</v>
      </c>
      <c r="K23" s="69">
        <f>36.5*M23^0.232*E23</f>
        <v>74.453674232895381</v>
      </c>
      <c r="L23" s="72" t="s">
        <v>120</v>
      </c>
      <c r="M23" s="80">
        <f>+M22</f>
        <v>21.6</v>
      </c>
      <c r="N23" s="385" t="s">
        <v>255</v>
      </c>
      <c r="O23" s="81">
        <f>+③基本情報入力【例】!$Y$62</f>
        <v>0.1</v>
      </c>
      <c r="P23" s="84">
        <f>+③基本情報入力【例】!$AB$62</f>
        <v>2.3E-2</v>
      </c>
      <c r="Q23" s="83">
        <f>+③基本情報入力【例】!$AE$62</f>
        <v>15</v>
      </c>
      <c r="R23" s="72" t="s">
        <v>256</v>
      </c>
      <c r="T23" s="72" t="s">
        <v>218</v>
      </c>
      <c r="U23" s="72">
        <v>0.62</v>
      </c>
      <c r="V23" s="72" t="s">
        <v>69</v>
      </c>
    </row>
    <row r="24" spans="1:22" ht="15.75">
      <c r="A24" s="58"/>
      <c r="B24" s="1417"/>
      <c r="C24" s="1514"/>
      <c r="D24" s="1414"/>
      <c r="E24" s="407">
        <v>1</v>
      </c>
      <c r="F24" s="576" t="s">
        <v>8</v>
      </c>
      <c r="G24" s="589" t="s">
        <v>11</v>
      </c>
      <c r="H24" s="589" t="s">
        <v>783</v>
      </c>
      <c r="I24" s="80">
        <f t="shared" si="0"/>
        <v>5.7124854143490111</v>
      </c>
      <c r="J24" s="72" t="s">
        <v>124</v>
      </c>
      <c r="K24" s="69">
        <f>117.2*M24^0.111*E24</f>
        <v>164.83596618425861</v>
      </c>
      <c r="L24" s="72" t="s">
        <v>120</v>
      </c>
      <c r="M24" s="80">
        <f>+M22</f>
        <v>21.6</v>
      </c>
      <c r="N24" s="385" t="s">
        <v>255</v>
      </c>
      <c r="O24" s="81">
        <f>+③基本情報入力【例】!$Y$63</f>
        <v>0.1</v>
      </c>
      <c r="P24" s="84">
        <f>+③基本情報入力【例】!$AB$63</f>
        <v>2.3E-2</v>
      </c>
      <c r="Q24" s="83">
        <f>+③基本情報入力【例】!$AE$63</f>
        <v>40</v>
      </c>
      <c r="R24" s="72"/>
      <c r="T24" s="72"/>
      <c r="U24" s="325">
        <f>U23/U22</f>
        <v>0.15158924205378974</v>
      </c>
      <c r="V24" s="72"/>
    </row>
    <row r="25" spans="1:22" ht="15.75">
      <c r="A25" s="58"/>
      <c r="B25" s="1417"/>
      <c r="C25" s="1501" t="s">
        <v>257</v>
      </c>
      <c r="D25" s="1221"/>
      <c r="E25" s="404">
        <v>1</v>
      </c>
      <c r="F25" s="576" t="s">
        <v>3</v>
      </c>
      <c r="G25" s="589" t="s">
        <v>11</v>
      </c>
      <c r="H25" s="589" t="s">
        <v>784</v>
      </c>
      <c r="I25" s="80">
        <f t="shared" si="0"/>
        <v>11.76646958750937</v>
      </c>
      <c r="J25" s="72" t="s">
        <v>124</v>
      </c>
      <c r="K25" s="69">
        <f>98.6*M25^0.475*E25</f>
        <v>207.71435084924084</v>
      </c>
      <c r="L25" s="72" t="s">
        <v>120</v>
      </c>
      <c r="M25" s="80">
        <f>IFERROR('計算条件（いしかわモデル）【例】'!H61/E25,0)</f>
        <v>4.8</v>
      </c>
      <c r="N25" s="385" t="s">
        <v>0</v>
      </c>
      <c r="O25" s="81">
        <f>+③基本情報入力【例】!$Y$61</f>
        <v>0.1</v>
      </c>
      <c r="P25" s="82">
        <f>+③基本情報入力【例】!$AB$61</f>
        <v>2.3E-2</v>
      </c>
      <c r="Q25" s="83">
        <f>+③基本情報入力【例】!$AE$61</f>
        <v>20</v>
      </c>
      <c r="R25" s="72" t="s">
        <v>258</v>
      </c>
      <c r="T25" s="72" t="s">
        <v>524</v>
      </c>
      <c r="U25" s="86">
        <f>U22*U24*100</f>
        <v>62</v>
      </c>
      <c r="V25" s="72"/>
    </row>
    <row r="26" spans="1:22" ht="15.75">
      <c r="A26" s="58"/>
      <c r="B26" s="1417"/>
      <c r="C26" s="1501"/>
      <c r="D26" s="1221"/>
      <c r="E26" s="404">
        <v>1</v>
      </c>
      <c r="F26" s="384" t="s">
        <v>4</v>
      </c>
      <c r="G26" s="589" t="s">
        <v>11</v>
      </c>
      <c r="H26" s="589" t="s">
        <v>785</v>
      </c>
      <c r="I26" s="80">
        <f t="shared" si="0"/>
        <v>4.7331429896874262</v>
      </c>
      <c r="J26" s="72" t="s">
        <v>124</v>
      </c>
      <c r="K26" s="69">
        <f>29.6*M26^0.512*E26</f>
        <v>66.08261563621889</v>
      </c>
      <c r="L26" s="72" t="s">
        <v>120</v>
      </c>
      <c r="M26" s="80">
        <f>+M25</f>
        <v>4.8</v>
      </c>
      <c r="N26" s="385" t="s">
        <v>0</v>
      </c>
      <c r="O26" s="81">
        <f>+③基本情報入力【例】!$Y$62</f>
        <v>0.1</v>
      </c>
      <c r="P26" s="84">
        <f>+③基本情報入力【例】!$AB$62</f>
        <v>2.3E-2</v>
      </c>
      <c r="Q26" s="83">
        <f>+③基本情報入力【例】!$AE$62</f>
        <v>15</v>
      </c>
      <c r="R26" s="72"/>
      <c r="T26" s="72" t="s">
        <v>525</v>
      </c>
      <c r="U26" s="72">
        <v>1.9810000000000001</v>
      </c>
      <c r="V26" s="72" t="s">
        <v>120</v>
      </c>
    </row>
    <row r="27" spans="1:22" ht="15.75">
      <c r="A27" s="58"/>
      <c r="B27" s="1417"/>
      <c r="C27" s="1501"/>
      <c r="D27" s="1221"/>
      <c r="E27" s="404">
        <v>1</v>
      </c>
      <c r="F27" s="384" t="s">
        <v>5</v>
      </c>
      <c r="G27" s="589" t="s">
        <v>11</v>
      </c>
      <c r="H27" s="589" t="s">
        <v>786</v>
      </c>
      <c r="I27" s="80">
        <f t="shared" si="0"/>
        <v>1.7114599006378042</v>
      </c>
      <c r="J27" s="72" t="s">
        <v>124</v>
      </c>
      <c r="K27" s="69">
        <f>22.4*M27^0.504*E27</f>
        <v>49.384834418767035</v>
      </c>
      <c r="L27" s="72" t="s">
        <v>120</v>
      </c>
      <c r="M27" s="80">
        <f>+M25</f>
        <v>4.8</v>
      </c>
      <c r="N27" s="385" t="s">
        <v>0</v>
      </c>
      <c r="O27" s="81">
        <f>+③基本情報入力【例】!$Y$63</f>
        <v>0.1</v>
      </c>
      <c r="P27" s="84">
        <f>+③基本情報入力【例】!$AB$63</f>
        <v>2.3E-2</v>
      </c>
      <c r="Q27" s="83">
        <f>+③基本情報入力【例】!$AE$63</f>
        <v>40</v>
      </c>
      <c r="R27" s="72"/>
      <c r="T27" s="72" t="s">
        <v>211</v>
      </c>
      <c r="U27" s="72">
        <f>ROUND(U26/U25*1000,0)</f>
        <v>32</v>
      </c>
      <c r="V27" s="72" t="s">
        <v>775</v>
      </c>
    </row>
    <row r="28" spans="1:22" ht="15.75">
      <c r="A28" s="58"/>
      <c r="B28" s="1417"/>
      <c r="C28" s="1509"/>
      <c r="D28" s="1347"/>
      <c r="E28" s="145">
        <v>1</v>
      </c>
      <c r="F28" s="386" t="s">
        <v>6</v>
      </c>
      <c r="G28" s="590" t="s">
        <v>11</v>
      </c>
      <c r="H28" s="590" t="s">
        <v>787</v>
      </c>
      <c r="I28" s="94">
        <f t="shared" si="0"/>
        <v>4.4977923890208604</v>
      </c>
      <c r="J28" s="97" t="s">
        <v>124</v>
      </c>
      <c r="K28" s="96">
        <f>75.9*M28^0.342*E28</f>
        <v>129.78553122922017</v>
      </c>
      <c r="L28" s="97" t="s">
        <v>120</v>
      </c>
      <c r="M28" s="94">
        <f>+M25</f>
        <v>4.8</v>
      </c>
      <c r="N28" s="387" t="s">
        <v>0</v>
      </c>
      <c r="O28" s="81">
        <f>+③基本情報入力【例】!$Y$63</f>
        <v>0.1</v>
      </c>
      <c r="P28" s="84">
        <f>+③基本情報入力【例】!$AB$63</f>
        <v>2.3E-2</v>
      </c>
      <c r="Q28" s="83">
        <f>+③基本情報入力【例】!$AE$63</f>
        <v>40</v>
      </c>
      <c r="R28" s="97"/>
      <c r="T28" s="439" t="s">
        <v>571</v>
      </c>
      <c r="U28" s="440">
        <v>10</v>
      </c>
      <c r="V28" s="439" t="s">
        <v>572</v>
      </c>
    </row>
    <row r="29" spans="1:22" hidden="1">
      <c r="A29" s="58"/>
      <c r="B29" s="1417"/>
      <c r="C29" s="1501" t="s">
        <v>414</v>
      </c>
      <c r="D29" s="1221"/>
      <c r="E29" s="404"/>
      <c r="F29" s="78" t="s">
        <v>415</v>
      </c>
      <c r="G29" s="589" t="s">
        <v>11</v>
      </c>
      <c r="H29" s="589" t="s">
        <v>662</v>
      </c>
      <c r="I29" s="80">
        <f>K29*(1-O29)*(P29+P29/((P29+1)^Q29-1))</f>
        <v>0</v>
      </c>
      <c r="J29" s="72" t="s">
        <v>124</v>
      </c>
      <c r="K29" s="70">
        <f>1.3132*M29*E29</f>
        <v>0</v>
      </c>
      <c r="L29" s="79" t="s">
        <v>120</v>
      </c>
      <c r="M29" s="80">
        <f>'物質収支（いしかわモデル） 【例】'!X87/24</f>
        <v>89.384999999999991</v>
      </c>
      <c r="N29" s="1221" t="s">
        <v>425</v>
      </c>
      <c r="O29" s="81">
        <f>+③基本情報入力【例】!$Y$61</f>
        <v>0.1</v>
      </c>
      <c r="P29" s="82">
        <f>+③基本情報入力【例】!$AB$61</f>
        <v>2.3E-2</v>
      </c>
      <c r="Q29" s="83">
        <f>+③基本情報入力【例】!$AE$61</f>
        <v>20</v>
      </c>
      <c r="R29" s="72" t="s">
        <v>417</v>
      </c>
    </row>
    <row r="30" spans="1:22" hidden="1">
      <c r="A30" s="58"/>
      <c r="B30" s="1417"/>
      <c r="C30" s="1501"/>
      <c r="D30" s="1221"/>
      <c r="E30" s="407"/>
      <c r="F30" s="78" t="s">
        <v>5</v>
      </c>
      <c r="G30" s="589" t="s">
        <v>11</v>
      </c>
      <c r="H30" s="589" t="s">
        <v>663</v>
      </c>
      <c r="I30" s="80">
        <f>K30*(1-O30)*(P30+P30/((P30+1)^Q30-1))</f>
        <v>0</v>
      </c>
      <c r="J30" s="72" t="s">
        <v>124</v>
      </c>
      <c r="K30" s="70">
        <f>(0.0263*M30+5.8284)*E30</f>
        <v>0</v>
      </c>
      <c r="L30" s="79" t="s">
        <v>120</v>
      </c>
      <c r="M30" s="80">
        <f>'物質収支（いしかわモデル） 【例】'!X87/24</f>
        <v>89.384999999999991</v>
      </c>
      <c r="N30" s="1221"/>
      <c r="O30" s="81">
        <f>+③基本情報入力【例】!$Y$63</f>
        <v>0.1</v>
      </c>
      <c r="P30" s="84">
        <f>+③基本情報入力【例】!$AB$63</f>
        <v>2.3E-2</v>
      </c>
      <c r="Q30" s="83">
        <f>+③基本情報入力【例】!$AE$63</f>
        <v>40</v>
      </c>
      <c r="R30" s="72" t="s">
        <v>417</v>
      </c>
    </row>
    <row r="31" spans="1:22" s="637" customFormat="1" ht="15.75">
      <c r="B31" s="1417"/>
      <c r="C31" s="626" t="s">
        <v>672</v>
      </c>
      <c r="D31" s="624" t="s">
        <v>675</v>
      </c>
      <c r="E31" s="641" t="str">
        <f>IF(③基本情報入力【例】!E93="〇","1","0")</f>
        <v>1</v>
      </c>
      <c r="F31" s="627" t="s">
        <v>415</v>
      </c>
      <c r="G31" s="589" t="s">
        <v>11</v>
      </c>
      <c r="H31" s="590" t="s">
        <v>818</v>
      </c>
      <c r="I31" s="644">
        <f t="shared" ref="I31" si="1">K31*(1-O31)*(P31+P31/((P31+1)^Q31-1))</f>
        <v>5.1874048336760206</v>
      </c>
      <c r="J31" s="25" t="s">
        <v>124</v>
      </c>
      <c r="K31" s="613">
        <f>0.4129*M31^0.7982*E31</f>
        <v>91.573638091330409</v>
      </c>
      <c r="L31" s="46" t="s">
        <v>120</v>
      </c>
      <c r="M31" s="645">
        <f>'物質収支（いしかわモデル） 【例】'!$X$33</f>
        <v>869</v>
      </c>
      <c r="N31" s="623" t="s">
        <v>164</v>
      </c>
      <c r="O31" s="639">
        <f>+⑤基本情報入力!$Y$63</f>
        <v>0.1</v>
      </c>
      <c r="P31" s="640">
        <f>+⑤基本情報入力!$AB$63</f>
        <v>2.3E-2</v>
      </c>
      <c r="Q31" s="31">
        <f>⑤基本情報入力!$AE$61</f>
        <v>20</v>
      </c>
      <c r="R31" s="646" t="s">
        <v>814</v>
      </c>
    </row>
    <row r="32" spans="1:22" ht="15.75">
      <c r="A32" s="58"/>
      <c r="B32" s="1417"/>
      <c r="C32" s="587" t="s">
        <v>673</v>
      </c>
      <c r="D32" s="514" t="s">
        <v>692</v>
      </c>
      <c r="E32" s="520">
        <v>1</v>
      </c>
      <c r="F32" s="78" t="s">
        <v>676</v>
      </c>
      <c r="G32" s="591" t="s">
        <v>678</v>
      </c>
      <c r="H32" s="611" t="s">
        <v>808</v>
      </c>
      <c r="I32" s="94">
        <f>K32*(1-O32)*(P32+P32/((P32+1)^Q32-1))</f>
        <v>5.7066550356264232</v>
      </c>
      <c r="J32" s="72" t="s">
        <v>124</v>
      </c>
      <c r="K32" s="70">
        <f>690*M32/1000*E32</f>
        <v>100.74</v>
      </c>
      <c r="L32" s="79" t="s">
        <v>120</v>
      </c>
      <c r="M32" s="581">
        <f>IFERROR('物質収支（いしかわモデル） 【例】'!X83*100/E7,0)</f>
        <v>146</v>
      </c>
      <c r="N32" s="515" t="s">
        <v>243</v>
      </c>
      <c r="O32" s="81">
        <f>+⑤基本情報入力!$Y$62</f>
        <v>0.1</v>
      </c>
      <c r="P32" s="84">
        <f>+⑤基本情報入力!$AB$62</f>
        <v>2.3E-2</v>
      </c>
      <c r="Q32" s="83">
        <f>⑤基本情報入力!$AE$61</f>
        <v>20</v>
      </c>
      <c r="R32" s="72" t="s">
        <v>639</v>
      </c>
    </row>
    <row r="33" spans="1:18" ht="15.75">
      <c r="A33" s="58"/>
      <c r="B33" s="1417"/>
      <c r="C33" s="587" t="s">
        <v>674</v>
      </c>
      <c r="D33" s="514"/>
      <c r="E33" s="520">
        <v>1</v>
      </c>
      <c r="F33" s="78" t="s">
        <v>677</v>
      </c>
      <c r="G33" s="591" t="s">
        <v>678</v>
      </c>
      <c r="H33" s="611" t="s">
        <v>809</v>
      </c>
      <c r="I33" s="94">
        <f>K33*(1-O33)*(P33+P33/((P33+1)^Q33-1))</f>
        <v>3.0325868952670318</v>
      </c>
      <c r="J33" s="97" t="s">
        <v>124</v>
      </c>
      <c r="K33" s="70">
        <f>290*M33/1000*E33</f>
        <v>42.34</v>
      </c>
      <c r="L33" s="79" t="s">
        <v>120</v>
      </c>
      <c r="M33" s="581">
        <f>IFERROR('物質収支（いしかわモデル） 【例】'!X83*100/E7,0)</f>
        <v>146</v>
      </c>
      <c r="N33" s="515" t="s">
        <v>243</v>
      </c>
      <c r="O33" s="81">
        <f>+⑤基本情報入力!$Y$63</f>
        <v>0.1</v>
      </c>
      <c r="P33" s="84">
        <f>+⑤基本情報入力!$AB$63</f>
        <v>2.3E-2</v>
      </c>
      <c r="Q33" s="83">
        <f>⑤基本情報入力!$AE$62</f>
        <v>15</v>
      </c>
      <c r="R33" s="72" t="s">
        <v>638</v>
      </c>
    </row>
    <row r="34" spans="1:18" ht="15.75">
      <c r="A34" s="58"/>
      <c r="B34" s="1417"/>
      <c r="C34" s="1503" t="s">
        <v>310</v>
      </c>
      <c r="D34" s="1347"/>
      <c r="E34" s="404">
        <v>0</v>
      </c>
      <c r="F34" s="384" t="s">
        <v>3</v>
      </c>
      <c r="G34" s="144" t="s">
        <v>11</v>
      </c>
      <c r="H34" s="72" t="s">
        <v>664</v>
      </c>
      <c r="I34" s="94">
        <f t="shared" si="0"/>
        <v>0</v>
      </c>
      <c r="J34" s="97" t="s">
        <v>124</v>
      </c>
      <c r="K34" s="69">
        <f>188.8*M34^0.597*E34</f>
        <v>0</v>
      </c>
      <c r="L34" s="97" t="s">
        <v>120</v>
      </c>
      <c r="M34" s="80">
        <f>IFERROR('施設規模の設定（いしかわモデル）【例】'!G22/E34,0)</f>
        <v>0</v>
      </c>
      <c r="N34" s="387" t="s">
        <v>0</v>
      </c>
      <c r="O34" s="81">
        <f>+③基本情報入力【例】!$Y$61</f>
        <v>0.1</v>
      </c>
      <c r="P34" s="82">
        <f>+③基本情報入力【例】!$AB$61</f>
        <v>2.3E-2</v>
      </c>
      <c r="Q34" s="83">
        <f>+③基本情報入力【例】!$AE$61</f>
        <v>20</v>
      </c>
      <c r="R34" s="72" t="s">
        <v>316</v>
      </c>
    </row>
    <row r="35" spans="1:18" ht="15.75">
      <c r="A35" s="58"/>
      <c r="B35" s="1417"/>
      <c r="C35" s="1504"/>
      <c r="D35" s="1348"/>
      <c r="E35" s="404">
        <v>0</v>
      </c>
      <c r="F35" s="384" t="s">
        <v>4</v>
      </c>
      <c r="G35" s="144" t="s">
        <v>11</v>
      </c>
      <c r="H35" s="72" t="s">
        <v>665</v>
      </c>
      <c r="I35" s="94">
        <f t="shared" si="0"/>
        <v>0</v>
      </c>
      <c r="J35" s="97" t="s">
        <v>124</v>
      </c>
      <c r="K35" s="69">
        <f>72.6*M35^0.539*E35</f>
        <v>0</v>
      </c>
      <c r="L35" s="97" t="s">
        <v>120</v>
      </c>
      <c r="M35" s="80">
        <f>+M34</f>
        <v>0</v>
      </c>
      <c r="N35" s="387" t="s">
        <v>0</v>
      </c>
      <c r="O35" s="81">
        <f>+③基本情報入力【例】!$Y$62</f>
        <v>0.1</v>
      </c>
      <c r="P35" s="84">
        <f>+③基本情報入力【例】!$AB$62</f>
        <v>2.3E-2</v>
      </c>
      <c r="Q35" s="83">
        <f>+③基本情報入力【例】!$AE$62</f>
        <v>15</v>
      </c>
      <c r="R35" s="72"/>
    </row>
    <row r="36" spans="1:18" ht="16.5" thickBot="1">
      <c r="A36" s="58"/>
      <c r="B36" s="1417"/>
      <c r="C36" s="1505"/>
      <c r="D36" s="1426"/>
      <c r="E36" s="116">
        <v>0</v>
      </c>
      <c r="F36" s="390" t="s">
        <v>8</v>
      </c>
      <c r="G36" s="87" t="s">
        <v>11</v>
      </c>
      <c r="H36" s="88" t="s">
        <v>666</v>
      </c>
      <c r="I36" s="89">
        <f t="shared" si="0"/>
        <v>0</v>
      </c>
      <c r="J36" s="88" t="s">
        <v>124</v>
      </c>
      <c r="K36" s="90">
        <f>136.1*M36^0.38*E36</f>
        <v>0</v>
      </c>
      <c r="L36" s="88" t="s">
        <v>120</v>
      </c>
      <c r="M36" s="89">
        <f>+M34</f>
        <v>0</v>
      </c>
      <c r="N36" s="389" t="s">
        <v>0</v>
      </c>
      <c r="O36" s="91">
        <f>+③基本情報入力【例】!$Y$63</f>
        <v>0.1</v>
      </c>
      <c r="P36" s="92">
        <f>+③基本情報入力【例】!$AB$63</f>
        <v>2.3E-2</v>
      </c>
      <c r="Q36" s="93">
        <f>+③基本情報入力【例】!$AE$63</f>
        <v>40</v>
      </c>
      <c r="R36" s="88"/>
    </row>
    <row r="37" spans="1:18" ht="14.25" thickTop="1">
      <c r="A37" s="58"/>
      <c r="B37" s="1418"/>
      <c r="C37" s="1427" t="s">
        <v>259</v>
      </c>
      <c r="D37" s="1428"/>
      <c r="E37" s="1428"/>
      <c r="F37" s="1428"/>
      <c r="G37" s="1428"/>
      <c r="H37" s="1429"/>
      <c r="I37" s="126">
        <f>SUM(I5:I36)</f>
        <v>129.09318487479445</v>
      </c>
      <c r="J37" s="95" t="s">
        <v>124</v>
      </c>
      <c r="K37" s="143">
        <f>SUM(K5,K7,K9:K36)</f>
        <v>2353.3469744712393</v>
      </c>
      <c r="L37" s="142" t="s">
        <v>120</v>
      </c>
      <c r="M37" s="98"/>
      <c r="N37" s="382"/>
      <c r="O37" s="99"/>
      <c r="P37" s="100"/>
      <c r="Q37" s="101"/>
      <c r="R37" s="101"/>
    </row>
    <row r="38" spans="1:18">
      <c r="A38" s="58"/>
      <c r="B38" s="381" t="s">
        <v>260</v>
      </c>
      <c r="C38" s="380" t="s">
        <v>231</v>
      </c>
      <c r="D38" s="380" t="s">
        <v>232</v>
      </c>
      <c r="E38" s="380" t="s">
        <v>233</v>
      </c>
      <c r="F38" s="380" t="s">
        <v>261</v>
      </c>
      <c r="G38" s="1432" t="s">
        <v>235</v>
      </c>
      <c r="H38" s="1432"/>
      <c r="I38" s="1432" t="s">
        <v>237</v>
      </c>
      <c r="J38" s="1432"/>
      <c r="K38" s="1433" t="s">
        <v>291</v>
      </c>
      <c r="L38" s="1433"/>
      <c r="M38" s="1432" t="s">
        <v>97</v>
      </c>
      <c r="N38" s="1432"/>
      <c r="O38" s="1432"/>
      <c r="P38" s="1432"/>
      <c r="Q38" s="1432"/>
      <c r="R38" s="1432"/>
    </row>
    <row r="39" spans="1:18" ht="15.75">
      <c r="A39" s="58"/>
      <c r="B39" s="1420"/>
      <c r="C39" s="1423" t="s">
        <v>241</v>
      </c>
      <c r="D39" s="385" t="s">
        <v>242</v>
      </c>
      <c r="E39" s="404">
        <f>IF(③基本情報入力【例】!E53:I53=0,1,③基本情報入力【例】!E53)</f>
        <v>1</v>
      </c>
      <c r="F39" s="78" t="s">
        <v>262</v>
      </c>
      <c r="G39" s="79" t="s">
        <v>11</v>
      </c>
      <c r="H39" s="72" t="s">
        <v>290</v>
      </c>
      <c r="I39" s="80">
        <f>0.03*K39^0.628*E39</f>
        <v>0.31604542123607521</v>
      </c>
      <c r="J39" s="72" t="s">
        <v>124</v>
      </c>
      <c r="K39" s="80">
        <f>IFERROR('計算条件（いしかわモデル）【例】'!G7/E39,0)</f>
        <v>42.5</v>
      </c>
      <c r="L39" s="385" t="s">
        <v>243</v>
      </c>
      <c r="M39" s="1217" t="s">
        <v>263</v>
      </c>
      <c r="N39" s="1218"/>
      <c r="O39" s="1218"/>
      <c r="P39" s="1218"/>
      <c r="Q39" s="1218"/>
      <c r="R39" s="1422"/>
    </row>
    <row r="40" spans="1:18" ht="15.75">
      <c r="A40" s="58"/>
      <c r="B40" s="1420"/>
      <c r="C40" s="1453"/>
      <c r="D40" s="515" t="s">
        <v>684</v>
      </c>
      <c r="E40" s="521"/>
      <c r="F40" s="78" t="s">
        <v>262</v>
      </c>
      <c r="G40" s="79" t="s">
        <v>11</v>
      </c>
      <c r="H40" s="72" t="s">
        <v>631</v>
      </c>
      <c r="I40" s="80">
        <f>0.03*K40^0.628*E40</f>
        <v>0</v>
      </c>
      <c r="J40" s="72" t="s">
        <v>124</v>
      </c>
      <c r="K40" s="80">
        <f>IFERROR('計算条件（いしかわモデル）【例】'!G8/E40,0)</f>
        <v>0</v>
      </c>
      <c r="L40" s="515" t="s">
        <v>243</v>
      </c>
      <c r="M40" s="517"/>
      <c r="N40" s="519"/>
      <c r="O40" s="519"/>
      <c r="P40" s="519"/>
      <c r="Q40" s="519"/>
      <c r="R40" s="518"/>
    </row>
    <row r="41" spans="1:18" ht="15.75">
      <c r="B41" s="1420"/>
      <c r="C41" s="384" t="s">
        <v>22</v>
      </c>
      <c r="D41" s="385"/>
      <c r="E41" s="404">
        <f>IF(③基本情報入力【例】!E54:I54=0,1,③基本情報入力【例】!E54)</f>
        <v>1</v>
      </c>
      <c r="F41" s="78" t="s">
        <v>264</v>
      </c>
      <c r="G41" s="79" t="s">
        <v>11</v>
      </c>
      <c r="H41" s="72" t="s">
        <v>142</v>
      </c>
      <c r="I41" s="80">
        <f>0.039*K41^0.596*E41</f>
        <v>23.108651372068163</v>
      </c>
      <c r="J41" s="72" t="s">
        <v>124</v>
      </c>
      <c r="K41" s="80">
        <f>IFERROR('物質収支（いしかわモデル） 【例】'!X32*100*365/E41,0)</f>
        <v>44895</v>
      </c>
      <c r="L41" s="385" t="s">
        <v>265</v>
      </c>
      <c r="M41" s="1217" t="s">
        <v>266</v>
      </c>
      <c r="N41" s="1218"/>
      <c r="O41" s="1218"/>
      <c r="P41" s="1218"/>
      <c r="Q41" s="1218"/>
      <c r="R41" s="1422"/>
    </row>
    <row r="42" spans="1:18" ht="15.75">
      <c r="B42" s="1420"/>
      <c r="C42" s="384" t="s">
        <v>246</v>
      </c>
      <c r="D42" s="72"/>
      <c r="E42" s="404">
        <f>E39/E39</f>
        <v>1</v>
      </c>
      <c r="F42" s="384" t="s">
        <v>267</v>
      </c>
      <c r="G42" s="79" t="s">
        <v>11</v>
      </c>
      <c r="H42" s="72" t="s">
        <v>141</v>
      </c>
      <c r="I42" s="80">
        <f>0.0024*K42^0.533*E42</f>
        <v>1.0062192276483075</v>
      </c>
      <c r="J42" s="72" t="s">
        <v>124</v>
      </c>
      <c r="K42" s="80">
        <f>IFERROR('物質収支（いしかわモデル） 【例】'!X11*100*365/E42,0)</f>
        <v>83219.999999999985</v>
      </c>
      <c r="L42" s="385" t="s">
        <v>265</v>
      </c>
      <c r="M42" s="1217" t="s">
        <v>266</v>
      </c>
      <c r="N42" s="1218"/>
      <c r="O42" s="1218"/>
      <c r="P42" s="1218"/>
      <c r="Q42" s="1218"/>
      <c r="R42" s="1422"/>
    </row>
    <row r="43" spans="1:18" ht="15.75">
      <c r="B43" s="1420"/>
      <c r="C43" s="1411" t="s">
        <v>100</v>
      </c>
      <c r="D43" s="1414"/>
      <c r="E43" s="1519">
        <v>1</v>
      </c>
      <c r="F43" s="384" t="s">
        <v>12</v>
      </c>
      <c r="G43" s="79" t="s">
        <v>11</v>
      </c>
      <c r="H43" s="72" t="s">
        <v>144</v>
      </c>
      <c r="I43" s="102">
        <f>(O43*1000*③基本情報入力【例】!H61)/1000000*E43</f>
        <v>0.69892187010343398</v>
      </c>
      <c r="J43" s="72" t="s">
        <v>124</v>
      </c>
      <c r="K43" s="80">
        <f>IFERROR('施設規模の設定（いしかわモデル）【例】'!G11/E43,0)</f>
        <v>40</v>
      </c>
      <c r="L43" s="385" t="s">
        <v>1</v>
      </c>
      <c r="M43" s="1217" t="s">
        <v>12</v>
      </c>
      <c r="N43" s="1422"/>
      <c r="O43" s="69">
        <f>9.45*K43^0.493*E43</f>
        <v>58.243489175286165</v>
      </c>
      <c r="P43" s="72" t="s">
        <v>15</v>
      </c>
      <c r="Q43" s="1222"/>
      <c r="R43" s="1224"/>
    </row>
    <row r="44" spans="1:18" ht="15.75">
      <c r="B44" s="1420"/>
      <c r="C44" s="1407"/>
      <c r="D44" s="1408"/>
      <c r="E44" s="1516"/>
      <c r="F44" s="384" t="s">
        <v>13</v>
      </c>
      <c r="G44" s="79" t="s">
        <v>11</v>
      </c>
      <c r="H44" s="72" t="s">
        <v>143</v>
      </c>
      <c r="I44" s="85">
        <f>0.184*K44^0.4*E43</f>
        <v>0.80471448642225263</v>
      </c>
      <c r="J44" s="72" t="s">
        <v>124</v>
      </c>
      <c r="K44" s="80">
        <f>+K43</f>
        <v>40</v>
      </c>
      <c r="L44" s="385" t="s">
        <v>1</v>
      </c>
      <c r="M44" s="1217" t="s">
        <v>248</v>
      </c>
      <c r="N44" s="1218"/>
      <c r="O44" s="1218"/>
      <c r="P44" s="1218"/>
      <c r="Q44" s="1218"/>
      <c r="R44" s="1422"/>
    </row>
    <row r="45" spans="1:18" ht="15.75">
      <c r="B45" s="1420"/>
      <c r="C45" s="402" t="s">
        <v>18</v>
      </c>
      <c r="D45" s="403" t="s">
        <v>249</v>
      </c>
      <c r="E45" s="404">
        <v>1</v>
      </c>
      <c r="F45" s="384" t="s">
        <v>17</v>
      </c>
      <c r="G45" s="79" t="s">
        <v>11</v>
      </c>
      <c r="H45" s="72" t="s">
        <v>313</v>
      </c>
      <c r="I45" s="85">
        <f>0.171*(K45)^0.39*E45</f>
        <v>14.186815405349112</v>
      </c>
      <c r="J45" s="72" t="s">
        <v>124</v>
      </c>
      <c r="K45" s="85">
        <f>IFERROR('物質収支（いしかわモデル） 【例】'!X11*100*365/E45,0)</f>
        <v>83219.999999999985</v>
      </c>
      <c r="L45" s="385" t="s">
        <v>265</v>
      </c>
      <c r="M45" s="1217" t="s">
        <v>266</v>
      </c>
      <c r="N45" s="1218"/>
      <c r="O45" s="1218"/>
      <c r="P45" s="1218"/>
      <c r="Q45" s="1218"/>
      <c r="R45" s="1422"/>
    </row>
    <row r="46" spans="1:18" ht="15.75">
      <c r="B46" s="1420"/>
      <c r="C46" s="402" t="s">
        <v>9</v>
      </c>
      <c r="D46" s="403"/>
      <c r="E46" s="404">
        <v>1</v>
      </c>
      <c r="F46" s="384" t="s">
        <v>13</v>
      </c>
      <c r="G46" s="79" t="s">
        <v>11</v>
      </c>
      <c r="H46" s="402" t="s">
        <v>667</v>
      </c>
      <c r="I46" s="85">
        <f>0.283*K46^0.302*E46</f>
        <v>1.7787263708269512</v>
      </c>
      <c r="J46" s="72" t="s">
        <v>124</v>
      </c>
      <c r="K46" s="85">
        <f>IFERROR('施設規模の設定（いしかわモデル）【例】'!G17/E46,0)</f>
        <v>440</v>
      </c>
      <c r="L46" s="385" t="s">
        <v>1</v>
      </c>
      <c r="M46" s="1217" t="s">
        <v>251</v>
      </c>
      <c r="N46" s="1218"/>
      <c r="O46" s="1218"/>
      <c r="P46" s="1218"/>
      <c r="Q46" s="1218"/>
      <c r="R46" s="1422"/>
    </row>
    <row r="47" spans="1:18" ht="15.75">
      <c r="B47" s="1420"/>
      <c r="C47" s="402" t="s">
        <v>16</v>
      </c>
      <c r="D47" s="403"/>
      <c r="E47" s="404">
        <v>1</v>
      </c>
      <c r="F47" s="384" t="s">
        <v>13</v>
      </c>
      <c r="G47" s="79" t="s">
        <v>11</v>
      </c>
      <c r="H47" s="402" t="s">
        <v>668</v>
      </c>
      <c r="I47" s="85">
        <f>0.0796*K47^0.761*E47</f>
        <v>1.2425520200931865</v>
      </c>
      <c r="J47" s="72" t="s">
        <v>124</v>
      </c>
      <c r="K47" s="85">
        <f>IFERROR('施設規模の設定（いしかわモデル）【例】'!G18/E47,0)</f>
        <v>37</v>
      </c>
      <c r="L47" s="385" t="s">
        <v>298</v>
      </c>
      <c r="M47" s="1217" t="s">
        <v>252</v>
      </c>
      <c r="N47" s="1218"/>
      <c r="O47" s="1218"/>
      <c r="P47" s="1218"/>
      <c r="Q47" s="1218"/>
      <c r="R47" s="1422"/>
    </row>
    <row r="48" spans="1:18" ht="15.75">
      <c r="B48" s="1420"/>
      <c r="C48" s="402" t="s">
        <v>10</v>
      </c>
      <c r="D48" s="403"/>
      <c r="E48" s="404" t="str">
        <f>$E$18</f>
        <v>1</v>
      </c>
      <c r="F48" s="384" t="s">
        <v>17</v>
      </c>
      <c r="G48" s="79" t="s">
        <v>11</v>
      </c>
      <c r="H48" s="72" t="s">
        <v>140</v>
      </c>
      <c r="I48" s="85">
        <f>0.362*K48^0.585*E48</f>
        <v>39.104883814677017</v>
      </c>
      <c r="J48" s="72" t="s">
        <v>124</v>
      </c>
      <c r="K48" s="80">
        <f>IFERROR('施設規模の設定（いしかわモデル）【例】'!G22*365/E48,0)</f>
        <v>2992.9999999999995</v>
      </c>
      <c r="L48" s="385" t="s">
        <v>562</v>
      </c>
      <c r="M48" s="1217" t="s">
        <v>268</v>
      </c>
      <c r="N48" s="1218"/>
      <c r="O48" s="1218"/>
      <c r="P48" s="1218"/>
      <c r="Q48" s="1218"/>
      <c r="R48" s="1422"/>
    </row>
    <row r="49" spans="1:18" ht="15.75">
      <c r="B49" s="1420"/>
      <c r="C49" s="582" t="s">
        <v>522</v>
      </c>
      <c r="D49" s="405" t="s">
        <v>570</v>
      </c>
      <c r="E49" s="141" t="str">
        <f>+IF(③基本情報入力【例】!E98="〇","1","0")</f>
        <v>0</v>
      </c>
      <c r="F49" s="384" t="s">
        <v>264</v>
      </c>
      <c r="G49" s="79" t="s">
        <v>271</v>
      </c>
      <c r="H49" s="72" t="s">
        <v>774</v>
      </c>
      <c r="I49" s="85">
        <f>U27*K49*E49/1000</f>
        <v>0</v>
      </c>
      <c r="J49" s="72" t="s">
        <v>124</v>
      </c>
      <c r="K49" s="80">
        <f>'施設規模の設定（いしかわモデル）【例】'!G23</f>
        <v>83.7</v>
      </c>
      <c r="L49" s="385" t="s">
        <v>433</v>
      </c>
      <c r="M49" s="1217" t="s">
        <v>690</v>
      </c>
      <c r="N49" s="1218"/>
      <c r="O49" s="1218"/>
      <c r="P49" s="1218"/>
      <c r="Q49" s="1223"/>
      <c r="R49" s="1224"/>
    </row>
    <row r="50" spans="1:18" ht="15.75">
      <c r="B50" s="1420"/>
      <c r="C50" s="1509" t="s">
        <v>254</v>
      </c>
      <c r="D50" s="1412"/>
      <c r="E50" s="404">
        <v>1</v>
      </c>
      <c r="F50" s="384" t="s">
        <v>12</v>
      </c>
      <c r="G50" s="79" t="s">
        <v>11</v>
      </c>
      <c r="H50" s="72" t="s">
        <v>693</v>
      </c>
      <c r="I50" s="85">
        <f>(O50*1000*③基本情報入力【例】!H61)/10^6*E50</f>
        <v>3.6310685071633637</v>
      </c>
      <c r="J50" s="72" t="s">
        <v>124</v>
      </c>
      <c r="K50" s="80">
        <f>IFERROR('計算条件（いしかわモデル）【例】'!G46+'計算条件（いしかわモデル）【例】'!G51/E50,0)</f>
        <v>18</v>
      </c>
      <c r="L50" s="385" t="s">
        <v>121</v>
      </c>
      <c r="M50" s="1217" t="s">
        <v>12</v>
      </c>
      <c r="N50" s="1422"/>
      <c r="O50" s="69">
        <f>230*K50^0.0949</f>
        <v>302.58904226361358</v>
      </c>
      <c r="P50" s="72" t="s">
        <v>15</v>
      </c>
      <c r="Q50" s="1222"/>
      <c r="R50" s="1224"/>
    </row>
    <row r="51" spans="1:18" ht="15.75">
      <c r="B51" s="1420"/>
      <c r="C51" s="1511"/>
      <c r="D51" s="1414"/>
      <c r="E51" s="404">
        <v>1</v>
      </c>
      <c r="F51" s="384" t="s">
        <v>13</v>
      </c>
      <c r="G51" s="79" t="s">
        <v>11</v>
      </c>
      <c r="H51" s="72" t="s">
        <v>694</v>
      </c>
      <c r="I51" s="85">
        <f>3.05*K51^0.195*E51</f>
        <v>5.3589286877060696</v>
      </c>
      <c r="J51" s="72" t="s">
        <v>124</v>
      </c>
      <c r="K51" s="80">
        <f>K50</f>
        <v>18</v>
      </c>
      <c r="L51" s="385" t="s">
        <v>121</v>
      </c>
      <c r="M51" s="1217" t="s">
        <v>269</v>
      </c>
      <c r="N51" s="1218"/>
      <c r="O51" s="1218"/>
      <c r="P51" s="1218"/>
      <c r="Q51" s="1218"/>
      <c r="R51" s="1422"/>
    </row>
    <row r="52" spans="1:18" ht="15.75">
      <c r="B52" s="1420"/>
      <c r="C52" s="1501" t="s">
        <v>257</v>
      </c>
      <c r="D52" s="1221"/>
      <c r="E52" s="1516">
        <v>1</v>
      </c>
      <c r="F52" s="384" t="s">
        <v>12</v>
      </c>
      <c r="G52" s="79" t="s">
        <v>11</v>
      </c>
      <c r="H52" s="72" t="s">
        <v>296</v>
      </c>
      <c r="I52" s="80">
        <f>(O52*1000*③基本情報入力【例】!H61)/1000000*E52</f>
        <v>2.0604314902320819</v>
      </c>
      <c r="J52" s="72" t="s">
        <v>124</v>
      </c>
      <c r="K52" s="80">
        <f>IFERROR('計算条件（いしかわモデル）【例】'!G61/E52,0)</f>
        <v>4</v>
      </c>
      <c r="L52" s="385" t="s">
        <v>0</v>
      </c>
      <c r="M52" s="1217" t="s">
        <v>12</v>
      </c>
      <c r="N52" s="1422"/>
      <c r="O52" s="69">
        <f>94.6*K52^0.43</f>
        <v>171.70262418600683</v>
      </c>
      <c r="P52" s="72" t="s">
        <v>15</v>
      </c>
      <c r="Q52" s="1222"/>
      <c r="R52" s="1224"/>
    </row>
    <row r="53" spans="1:18" ht="15.75">
      <c r="B53" s="1420"/>
      <c r="C53" s="1501"/>
      <c r="D53" s="1221"/>
      <c r="E53" s="1516"/>
      <c r="F53" s="384" t="s">
        <v>13</v>
      </c>
      <c r="G53" s="79" t="s">
        <v>11</v>
      </c>
      <c r="H53" s="72" t="s">
        <v>151</v>
      </c>
      <c r="I53" s="85">
        <f>7.58*K53^0.264*E52</f>
        <v>10.929820845668504</v>
      </c>
      <c r="J53" s="72" t="s">
        <v>124</v>
      </c>
      <c r="K53" s="80">
        <f>+K52</f>
        <v>4</v>
      </c>
      <c r="L53" s="385" t="s">
        <v>0</v>
      </c>
      <c r="M53" s="1217" t="s">
        <v>270</v>
      </c>
      <c r="N53" s="1218"/>
      <c r="O53" s="1218"/>
      <c r="P53" s="1218"/>
      <c r="Q53" s="1218"/>
      <c r="R53" s="1422"/>
    </row>
    <row r="54" spans="1:18" ht="15.75" hidden="1">
      <c r="B54" s="1420"/>
      <c r="D54" s="515" t="s">
        <v>685</v>
      </c>
      <c r="E54" s="521"/>
      <c r="F54" s="516" t="s">
        <v>13</v>
      </c>
      <c r="G54" s="79" t="s">
        <v>619</v>
      </c>
      <c r="H54" s="72" t="s">
        <v>620</v>
      </c>
      <c r="I54" s="85">
        <f>3.05*K54^0.195*E54</f>
        <v>0</v>
      </c>
      <c r="J54" s="72" t="s">
        <v>124</v>
      </c>
      <c r="K54" s="80"/>
      <c r="L54" s="515" t="s">
        <v>624</v>
      </c>
      <c r="M54" s="517" t="s">
        <v>687</v>
      </c>
      <c r="N54" s="519"/>
      <c r="O54" s="519"/>
      <c r="P54" s="519"/>
      <c r="Q54" s="519"/>
      <c r="R54" s="518"/>
    </row>
    <row r="55" spans="1:18" s="635" customFormat="1" ht="15.75">
      <c r="A55" s="636"/>
      <c r="B55" s="1420"/>
      <c r="C55" s="633" t="s">
        <v>672</v>
      </c>
      <c r="D55" s="623" t="s">
        <v>675</v>
      </c>
      <c r="E55" s="641" t="str">
        <f>IF(③基本情報入力【例】!E93="〇","1","0")</f>
        <v>1</v>
      </c>
      <c r="F55" s="642" t="s">
        <v>13</v>
      </c>
      <c r="G55" s="46" t="s">
        <v>619</v>
      </c>
      <c r="H55" s="25" t="s">
        <v>817</v>
      </c>
      <c r="I55" s="643">
        <f>0.0138*K55^0.8898*E55</f>
        <v>5.6887766558010835</v>
      </c>
      <c r="J55" s="25" t="s">
        <v>124</v>
      </c>
      <c r="K55" s="644">
        <f>+M31</f>
        <v>869</v>
      </c>
      <c r="L55" s="623" t="s">
        <v>164</v>
      </c>
      <c r="M55" s="1520" t="s">
        <v>815</v>
      </c>
      <c r="N55" s="1521"/>
      <c r="O55" s="1521"/>
      <c r="P55" s="1521"/>
      <c r="Q55" s="1521"/>
      <c r="R55" s="1522"/>
    </row>
    <row r="56" spans="1:18" hidden="1">
      <c r="B56" s="1420"/>
      <c r="C56" s="634"/>
      <c r="D56" s="515" t="s">
        <v>686</v>
      </c>
      <c r="E56" s="521"/>
      <c r="F56" s="516" t="s">
        <v>264</v>
      </c>
      <c r="G56" s="79"/>
      <c r="H56" s="72" t="s">
        <v>621</v>
      </c>
      <c r="I56" s="85">
        <f>7.58*K56^0.264*E55</f>
        <v>0</v>
      </c>
      <c r="J56" s="72" t="s">
        <v>124</v>
      </c>
      <c r="K56" s="80">
        <v>0</v>
      </c>
      <c r="L56" s="515"/>
      <c r="M56" s="517" t="s">
        <v>688</v>
      </c>
      <c r="N56" s="519"/>
      <c r="O56" s="519"/>
      <c r="P56" s="519"/>
      <c r="Q56" s="519"/>
      <c r="R56" s="518"/>
    </row>
    <row r="57" spans="1:18">
      <c r="B57" s="1420"/>
      <c r="C57" s="583" t="s">
        <v>717</v>
      </c>
      <c r="D57" s="385"/>
      <c r="E57" s="323"/>
      <c r="F57" s="78" t="s">
        <v>812</v>
      </c>
      <c r="G57" s="79" t="s">
        <v>271</v>
      </c>
      <c r="H57" s="72"/>
      <c r="I57" s="80">
        <f>-③基本情報入力【例】!H61*K57*365/10^6*E55</f>
        <v>-7.3796429999999997</v>
      </c>
      <c r="J57" s="72" t="s">
        <v>124</v>
      </c>
      <c r="K57" s="80">
        <f>+'物質収支（いしかわモデル） 【例】'!X37</f>
        <v>1684.8500000000001</v>
      </c>
      <c r="L57" s="574" t="s">
        <v>813</v>
      </c>
      <c r="M57" s="1217" t="s">
        <v>687</v>
      </c>
      <c r="N57" s="1218"/>
      <c r="O57" s="1218"/>
      <c r="P57" s="1218"/>
      <c r="Q57" s="1218"/>
      <c r="R57" s="1422"/>
    </row>
    <row r="58" spans="1:18" ht="15.75" hidden="1">
      <c r="B58" s="1420"/>
      <c r="C58" s="584" t="s">
        <v>310</v>
      </c>
      <c r="D58" s="387"/>
      <c r="E58" s="141">
        <v>0</v>
      </c>
      <c r="F58" s="386" t="s">
        <v>264</v>
      </c>
      <c r="G58" s="79" t="s">
        <v>11</v>
      </c>
      <c r="H58" s="97" t="s">
        <v>670</v>
      </c>
      <c r="I58" s="140">
        <f>0.287*K58^0.673*E58</f>
        <v>0</v>
      </c>
      <c r="J58" s="72" t="s">
        <v>124</v>
      </c>
      <c r="K58" s="94">
        <f>IFERROR('施設規模の設定（いしかわモデル）【例】'!G22*365/E58,0)</f>
        <v>0</v>
      </c>
      <c r="L58" s="385" t="s">
        <v>562</v>
      </c>
      <c r="M58" s="1217" t="s">
        <v>563</v>
      </c>
      <c r="N58" s="1218"/>
      <c r="O58" s="1218"/>
      <c r="P58" s="1218"/>
      <c r="Q58" s="1218"/>
      <c r="R58" s="1422"/>
    </row>
    <row r="59" spans="1:18" ht="14.25" thickBot="1">
      <c r="B59" s="1420"/>
      <c r="C59" s="585" t="s">
        <v>139</v>
      </c>
      <c r="D59" s="522" t="s">
        <v>128</v>
      </c>
      <c r="E59" s="88"/>
      <c r="F59" s="104" t="s">
        <v>139</v>
      </c>
      <c r="G59" s="88" t="s">
        <v>271</v>
      </c>
      <c r="H59" s="88"/>
      <c r="I59" s="89">
        <f>+K59*365*③基本情報入力【例】!H62/10^6</f>
        <v>9.0253549999999994</v>
      </c>
      <c r="J59" s="88" t="s">
        <v>124</v>
      </c>
      <c r="K59" s="89">
        <f>IF(AND(③基本情報入力【例】!E93="〇",③基本情報入力【例】!E94="〇"),'物質収支（いしかわモデル） 【例】'!X51,IF(③基本情報入力【例】!E93="〇",'物質収支（いしかわモデル） 【例】'!X50,IF(③基本情報入力【例】!E94="〇",'物質収支（いしかわモデル） 【例】'!X49,'物質収支（いしかわモデル） 【例】'!X48)))</f>
        <v>313</v>
      </c>
      <c r="L59" s="389" t="s">
        <v>129</v>
      </c>
      <c r="M59" s="1430" t="s">
        <v>691</v>
      </c>
      <c r="N59" s="1430"/>
      <c r="O59" s="1430"/>
      <c r="P59" s="1430"/>
      <c r="Q59" s="1430"/>
      <c r="R59" s="1430"/>
    </row>
    <row r="60" spans="1:18" ht="14.25" thickTop="1">
      <c r="B60" s="1421"/>
      <c r="C60" s="1210" t="s">
        <v>259</v>
      </c>
      <c r="D60" s="1211"/>
      <c r="E60" s="1211"/>
      <c r="F60" s="1211"/>
      <c r="G60" s="1211"/>
      <c r="H60" s="1212"/>
      <c r="I60" s="80">
        <f>SUM(I39:I59)</f>
        <v>111.56226817499559</v>
      </c>
      <c r="J60" s="95" t="s">
        <v>124</v>
      </c>
      <c r="K60" s="95"/>
      <c r="L60" s="101"/>
      <c r="M60" s="1431"/>
      <c r="N60" s="1431"/>
      <c r="O60" s="1431"/>
      <c r="P60" s="1431"/>
      <c r="Q60" s="1431"/>
      <c r="R60" s="1431"/>
    </row>
    <row r="61" spans="1:18" s="105" customFormat="1">
      <c r="A61" s="157"/>
      <c r="B61" s="139"/>
      <c r="C61" s="417"/>
      <c r="D61" s="417"/>
      <c r="E61" s="417"/>
      <c r="F61" s="417"/>
      <c r="G61" s="417"/>
      <c r="H61" s="417"/>
      <c r="I61" s="106"/>
      <c r="J61" s="107"/>
      <c r="K61" s="108"/>
      <c r="L61" s="108"/>
      <c r="M61" s="417"/>
      <c r="N61" s="417"/>
      <c r="O61" s="417"/>
      <c r="P61" s="417"/>
      <c r="Q61" s="417"/>
      <c r="R61" s="417"/>
    </row>
    <row r="62" spans="1:18">
      <c r="A62" s="58"/>
      <c r="B62" s="148" t="str">
        <f>+③基本情報入力【例】!J51</f>
        <v>②</v>
      </c>
      <c r="C62" s="1232" t="str">
        <f>+③基本情報入力【例】!J52</f>
        <v>B町中央浄化センター</v>
      </c>
      <c r="D62" s="1232"/>
    </row>
    <row r="63" spans="1:18">
      <c r="B63" s="400" t="s">
        <v>230</v>
      </c>
      <c r="C63" s="383" t="s">
        <v>231</v>
      </c>
      <c r="D63" s="383" t="s">
        <v>232</v>
      </c>
      <c r="E63" s="383" t="s">
        <v>233</v>
      </c>
      <c r="F63" s="383" t="s">
        <v>23</v>
      </c>
      <c r="G63" s="1415" t="s">
        <v>235</v>
      </c>
      <c r="H63" s="1415"/>
      <c r="I63" s="1415" t="s">
        <v>236</v>
      </c>
      <c r="J63" s="1415"/>
      <c r="K63" s="1415" t="s">
        <v>237</v>
      </c>
      <c r="L63" s="1415"/>
      <c r="M63" s="1416" t="s">
        <v>291</v>
      </c>
      <c r="N63" s="1416"/>
      <c r="O63" s="77" t="s">
        <v>238</v>
      </c>
      <c r="P63" s="77" t="s">
        <v>239</v>
      </c>
      <c r="Q63" s="77" t="s">
        <v>240</v>
      </c>
      <c r="R63" s="383" t="s">
        <v>97</v>
      </c>
    </row>
    <row r="64" spans="1:18" ht="15.75">
      <c r="B64" s="1417"/>
      <c r="C64" s="1419" t="s">
        <v>241</v>
      </c>
      <c r="D64" s="1221" t="s">
        <v>242</v>
      </c>
      <c r="E64" s="404">
        <f>+③基本情報入力【例】!J53</f>
        <v>1</v>
      </c>
      <c r="F64" s="78" t="s">
        <v>3</v>
      </c>
      <c r="G64" s="79" t="s">
        <v>11</v>
      </c>
      <c r="H64" s="79" t="s">
        <v>653</v>
      </c>
      <c r="I64" s="80">
        <f>K64*(1-O64)*(P64+P64/((P64+1)^Q64-1))</f>
        <v>0.45138593273439376</v>
      </c>
      <c r="J64" s="72" t="s">
        <v>124</v>
      </c>
      <c r="K64" s="70">
        <f>1.31*M64^0.611*E64</f>
        <v>7.9683489854878298</v>
      </c>
      <c r="L64" s="79" t="s">
        <v>120</v>
      </c>
      <c r="M64" s="80">
        <f>IFERROR('計算条件（いしかわモデル）【例】'!H13/E64,0)</f>
        <v>19.2</v>
      </c>
      <c r="N64" s="1221" t="s">
        <v>243</v>
      </c>
      <c r="O64" s="81">
        <f>+③基本情報入力【例】!$Y$61</f>
        <v>0.1</v>
      </c>
      <c r="P64" s="82">
        <f>+③基本情報入力【例】!$AB$61</f>
        <v>2.3E-2</v>
      </c>
      <c r="Q64" s="83">
        <f>+③基本情報入力【例】!$AE$61</f>
        <v>20</v>
      </c>
      <c r="R64" s="72" t="s">
        <v>244</v>
      </c>
    </row>
    <row r="65" spans="1:18" ht="15.75">
      <c r="B65" s="1417"/>
      <c r="C65" s="1419"/>
      <c r="D65" s="1221"/>
      <c r="E65" s="407">
        <v>0</v>
      </c>
      <c r="F65" s="78" t="s">
        <v>8</v>
      </c>
      <c r="G65" s="79" t="s">
        <v>11</v>
      </c>
      <c r="H65" s="79" t="s">
        <v>654</v>
      </c>
      <c r="I65" s="80">
        <f>K65*(1-O65)*(P65+P65/((P65+1)^Q65-1))</f>
        <v>0</v>
      </c>
      <c r="J65" s="72" t="s">
        <v>124</v>
      </c>
      <c r="K65" s="70">
        <f>1.24*M65^0.598*E65</f>
        <v>0</v>
      </c>
      <c r="L65" s="79" t="s">
        <v>120</v>
      </c>
      <c r="M65" s="80">
        <f>+M64</f>
        <v>19.2</v>
      </c>
      <c r="N65" s="1221"/>
      <c r="O65" s="81">
        <f>+③基本情報入力【例】!$Y$63</f>
        <v>0.1</v>
      </c>
      <c r="P65" s="84">
        <f>+③基本情報入力【例】!$AB$63</f>
        <v>2.3E-2</v>
      </c>
      <c r="Q65" s="83">
        <f>+③基本情報入力【例】!$AE$63</f>
        <v>40</v>
      </c>
      <c r="R65" s="72" t="s">
        <v>244</v>
      </c>
    </row>
    <row r="66" spans="1:18" ht="15.75">
      <c r="B66" s="1417"/>
      <c r="C66" s="1419" t="s">
        <v>22</v>
      </c>
      <c r="D66" s="1221"/>
      <c r="E66" s="404">
        <f>+③基本情報入力【例】!J54</f>
        <v>1</v>
      </c>
      <c r="F66" s="78" t="s">
        <v>3</v>
      </c>
      <c r="G66" s="79" t="s">
        <v>11</v>
      </c>
      <c r="H66" s="79" t="s">
        <v>655</v>
      </c>
      <c r="I66" s="80">
        <f>K66*(1-O66)*(P66+P66/((P66+1)^Q66-1))</f>
        <v>4.7751968201111543</v>
      </c>
      <c r="J66" s="72" t="s">
        <v>124</v>
      </c>
      <c r="K66" s="70">
        <f>22.7*M66^0.444*E66</f>
        <v>84.296899787143374</v>
      </c>
      <c r="L66" s="79" t="s">
        <v>120</v>
      </c>
      <c r="M66" s="80">
        <f>IFERROR('計算条件（いしかわモデル）【例】'!H13/E66,0)</f>
        <v>19.2</v>
      </c>
      <c r="N66" s="1221" t="s">
        <v>243</v>
      </c>
      <c r="O66" s="81">
        <f>+③基本情報入力【例】!$Y$61</f>
        <v>0.1</v>
      </c>
      <c r="P66" s="82">
        <f>+③基本情報入力【例】!$AB$61</f>
        <v>2.3E-2</v>
      </c>
      <c r="Q66" s="83">
        <f>+③基本情報入力【例】!$AE$61</f>
        <v>20</v>
      </c>
      <c r="R66" s="72" t="s">
        <v>244</v>
      </c>
    </row>
    <row r="67" spans="1:18" ht="15.75">
      <c r="B67" s="1417"/>
      <c r="C67" s="1419"/>
      <c r="D67" s="1221"/>
      <c r="E67" s="407">
        <v>0</v>
      </c>
      <c r="F67" s="78" t="s">
        <v>8</v>
      </c>
      <c r="G67" s="79" t="s">
        <v>11</v>
      </c>
      <c r="H67" s="79" t="s">
        <v>656</v>
      </c>
      <c r="I67" s="80">
        <f>K67*(1-O67)*(P67+P67/((P67+1)^Q67-1))</f>
        <v>0</v>
      </c>
      <c r="J67" s="72" t="s">
        <v>124</v>
      </c>
      <c r="K67" s="70">
        <f>43.4*M67^0.373*E67</f>
        <v>0</v>
      </c>
      <c r="L67" s="79" t="s">
        <v>120</v>
      </c>
      <c r="M67" s="80">
        <f>+M66</f>
        <v>19.2</v>
      </c>
      <c r="N67" s="1221"/>
      <c r="O67" s="81">
        <f>+③基本情報入力【例】!$Y$63</f>
        <v>0.1</v>
      </c>
      <c r="P67" s="84">
        <f>+③基本情報入力【例】!$AB$63</f>
        <v>2.3E-2</v>
      </c>
      <c r="Q67" s="83">
        <f>+③基本情報入力【例】!$AE$63</f>
        <v>40</v>
      </c>
      <c r="R67" s="72" t="s">
        <v>244</v>
      </c>
    </row>
    <row r="68" spans="1:18" ht="16.5" thickBot="1">
      <c r="B68" s="1417"/>
      <c r="C68" s="390" t="s">
        <v>246</v>
      </c>
      <c r="D68" s="88"/>
      <c r="E68" s="116">
        <f>+③基本情報入力【例】!J53</f>
        <v>1</v>
      </c>
      <c r="F68" s="390" t="s">
        <v>4</v>
      </c>
      <c r="G68" s="87" t="s">
        <v>11</v>
      </c>
      <c r="H68" s="88" t="s">
        <v>657</v>
      </c>
      <c r="I68" s="89">
        <f>K68*(1-O68)*(P68+P68/((P68+1)^Q68-1))</f>
        <v>5.0226645370077785</v>
      </c>
      <c r="J68" s="88" t="s">
        <v>124</v>
      </c>
      <c r="K68" s="90">
        <f>17.8*M68^0.464*E68</f>
        <v>70.124822087969818</v>
      </c>
      <c r="L68" s="88" t="s">
        <v>120</v>
      </c>
      <c r="M68" s="89">
        <f>IFERROR('計算条件（いしかわモデル）【例】'!H13/E68,0)</f>
        <v>19.2</v>
      </c>
      <c r="N68" s="389" t="s">
        <v>243</v>
      </c>
      <c r="O68" s="91">
        <f>+③基本情報入力【例】!$Y$62</f>
        <v>0.1</v>
      </c>
      <c r="P68" s="92">
        <f>+③基本情報入力【例】!$AB$62</f>
        <v>2.3E-2</v>
      </c>
      <c r="Q68" s="93">
        <f>+③基本情報入力【例】!$AE$62</f>
        <v>15</v>
      </c>
      <c r="R68" s="88" t="s">
        <v>247</v>
      </c>
    </row>
    <row r="69" spans="1:18" ht="14.25" thickTop="1">
      <c r="B69" s="1418"/>
      <c r="C69" s="1434" t="s">
        <v>259</v>
      </c>
      <c r="D69" s="1434"/>
      <c r="E69" s="1434"/>
      <c r="F69" s="1434"/>
      <c r="G69" s="1434"/>
      <c r="H69" s="1434"/>
      <c r="I69" s="109">
        <f>SUM(I64:I68)</f>
        <v>10.249247289853326</v>
      </c>
      <c r="J69" s="110" t="s">
        <v>124</v>
      </c>
      <c r="K69" s="111">
        <f>SUM(K64,K66,K68)</f>
        <v>162.39007086060104</v>
      </c>
      <c r="L69" s="112" t="s">
        <v>120</v>
      </c>
      <c r="M69" s="113"/>
      <c r="N69" s="382"/>
      <c r="O69" s="99"/>
      <c r="P69" s="100"/>
      <c r="Q69" s="101"/>
      <c r="R69" s="101"/>
    </row>
    <row r="70" spans="1:18">
      <c r="B70" s="381" t="s">
        <v>260</v>
      </c>
      <c r="C70" s="380" t="s">
        <v>231</v>
      </c>
      <c r="D70" s="380" t="s">
        <v>232</v>
      </c>
      <c r="E70" s="380" t="s">
        <v>233</v>
      </c>
      <c r="F70" s="380" t="s">
        <v>273</v>
      </c>
      <c r="G70" s="1432" t="s">
        <v>235</v>
      </c>
      <c r="H70" s="1432"/>
      <c r="I70" s="1432" t="s">
        <v>237</v>
      </c>
      <c r="J70" s="1432"/>
      <c r="K70" s="1433" t="s">
        <v>291</v>
      </c>
      <c r="L70" s="1433"/>
      <c r="M70" s="1432" t="s">
        <v>97</v>
      </c>
      <c r="N70" s="1432"/>
      <c r="O70" s="1432"/>
      <c r="P70" s="1432"/>
      <c r="Q70" s="1432"/>
      <c r="R70" s="1432"/>
    </row>
    <row r="71" spans="1:18" ht="15.75">
      <c r="B71" s="1435"/>
      <c r="C71" s="384" t="s">
        <v>241</v>
      </c>
      <c r="D71" s="385" t="s">
        <v>242</v>
      </c>
      <c r="E71" s="404">
        <f>+③基本情報入力【例】!J53</f>
        <v>1</v>
      </c>
      <c r="F71" s="78" t="s">
        <v>262</v>
      </c>
      <c r="G71" s="79" t="s">
        <v>11</v>
      </c>
      <c r="H71" s="72" t="s">
        <v>290</v>
      </c>
      <c r="I71" s="80">
        <f>0.03*K71^0.628*E71</f>
        <v>0.17112308608369689</v>
      </c>
      <c r="J71" s="72" t="s">
        <v>124</v>
      </c>
      <c r="K71" s="80">
        <f>IFERROR('計算条件（いしかわモデル）【例】'!G13/E71,0)</f>
        <v>16</v>
      </c>
      <c r="L71" s="385" t="s">
        <v>243</v>
      </c>
      <c r="M71" s="1217" t="s">
        <v>263</v>
      </c>
      <c r="N71" s="1218"/>
      <c r="O71" s="1218"/>
      <c r="P71" s="1218"/>
      <c r="Q71" s="1218"/>
      <c r="R71" s="1422"/>
    </row>
    <row r="72" spans="1:18" ht="15.75">
      <c r="B72" s="1435"/>
      <c r="C72" s="384" t="s">
        <v>22</v>
      </c>
      <c r="D72" s="385"/>
      <c r="E72" s="404">
        <f>+③基本情報入力【例】!J54</f>
        <v>1</v>
      </c>
      <c r="F72" s="78" t="s">
        <v>308</v>
      </c>
      <c r="G72" s="79" t="s">
        <v>11</v>
      </c>
      <c r="H72" s="72" t="s">
        <v>142</v>
      </c>
      <c r="I72" s="80">
        <f>0.039*K72^0.596*E72</f>
        <v>6.8524624425288216</v>
      </c>
      <c r="J72" s="72" t="s">
        <v>124</v>
      </c>
      <c r="K72" s="80">
        <f>IFERROR('計算条件（いしかわモデル）【例】'!G13*365/E72,0)</f>
        <v>5840</v>
      </c>
      <c r="L72" s="385" t="s">
        <v>265</v>
      </c>
      <c r="M72" s="1217" t="s">
        <v>266</v>
      </c>
      <c r="N72" s="1218"/>
      <c r="O72" s="1218"/>
      <c r="P72" s="1218"/>
      <c r="Q72" s="1218"/>
      <c r="R72" s="1422"/>
    </row>
    <row r="73" spans="1:18" ht="16.5" thickBot="1">
      <c r="B73" s="1435"/>
      <c r="C73" s="390" t="s">
        <v>246</v>
      </c>
      <c r="D73" s="88"/>
      <c r="E73" s="116">
        <f>+③基本情報入力【例】!J53</f>
        <v>1</v>
      </c>
      <c r="F73" s="390" t="s">
        <v>267</v>
      </c>
      <c r="G73" s="87" t="s">
        <v>11</v>
      </c>
      <c r="H73" s="88" t="s">
        <v>141</v>
      </c>
      <c r="I73" s="89">
        <f>0.0024*K73^0.533*E73</f>
        <v>0.24417955010522602</v>
      </c>
      <c r="J73" s="88" t="s">
        <v>124</v>
      </c>
      <c r="K73" s="89">
        <f>IFERROR('計算条件（いしかわモデル）【例】'!G13*365/E73,0)</f>
        <v>5840</v>
      </c>
      <c r="L73" s="389" t="s">
        <v>265</v>
      </c>
      <c r="M73" s="1437" t="s">
        <v>266</v>
      </c>
      <c r="N73" s="1438"/>
      <c r="O73" s="1438"/>
      <c r="P73" s="1438"/>
      <c r="Q73" s="1438"/>
      <c r="R73" s="1439"/>
    </row>
    <row r="74" spans="1:18" ht="14.25" thickTop="1">
      <c r="B74" s="1436"/>
      <c r="C74" s="1434" t="s">
        <v>259</v>
      </c>
      <c r="D74" s="1434"/>
      <c r="E74" s="1434"/>
      <c r="F74" s="1434"/>
      <c r="G74" s="1434"/>
      <c r="H74" s="1434"/>
      <c r="I74" s="109">
        <f>SUM(I71:I73)</f>
        <v>7.267765078717745</v>
      </c>
      <c r="J74" s="114" t="s">
        <v>124</v>
      </c>
      <c r="K74" s="95"/>
      <c r="L74" s="101"/>
      <c r="M74" s="1431"/>
      <c r="N74" s="1431"/>
      <c r="O74" s="1431"/>
      <c r="P74" s="1431"/>
      <c r="Q74" s="1431"/>
      <c r="R74" s="1431"/>
    </row>
    <row r="75" spans="1:18">
      <c r="J75" s="115"/>
    </row>
    <row r="77" spans="1:18">
      <c r="A77" s="58"/>
      <c r="B77" s="148" t="str">
        <f>+③基本情報入力【例】!O51</f>
        <v>③</v>
      </c>
      <c r="C77" s="58" t="str">
        <f>+③基本情報入力【例】!O52</f>
        <v>B町浄化センター</v>
      </c>
    </row>
    <row r="78" spans="1:18">
      <c r="B78" s="400" t="s">
        <v>230</v>
      </c>
      <c r="C78" s="383" t="s">
        <v>231</v>
      </c>
      <c r="D78" s="383" t="s">
        <v>232</v>
      </c>
      <c r="E78" s="383" t="s">
        <v>233</v>
      </c>
      <c r="F78" s="383" t="s">
        <v>23</v>
      </c>
      <c r="G78" s="1415" t="s">
        <v>235</v>
      </c>
      <c r="H78" s="1415"/>
      <c r="I78" s="1415" t="s">
        <v>236</v>
      </c>
      <c r="J78" s="1415"/>
      <c r="K78" s="1415" t="s">
        <v>237</v>
      </c>
      <c r="L78" s="1415"/>
      <c r="M78" s="1416" t="s">
        <v>291</v>
      </c>
      <c r="N78" s="1416"/>
      <c r="O78" s="77" t="s">
        <v>238</v>
      </c>
      <c r="P78" s="77" t="s">
        <v>239</v>
      </c>
      <c r="Q78" s="77" t="s">
        <v>240</v>
      </c>
      <c r="R78" s="383" t="s">
        <v>97</v>
      </c>
    </row>
    <row r="79" spans="1:18" ht="15.75">
      <c r="B79" s="1417"/>
      <c r="C79" s="1419" t="s">
        <v>241</v>
      </c>
      <c r="D79" s="1221" t="s">
        <v>242</v>
      </c>
      <c r="E79" s="404">
        <f>+③基本情報入力【例】!O53</f>
        <v>1</v>
      </c>
      <c r="F79" s="78" t="s">
        <v>3</v>
      </c>
      <c r="G79" s="79" t="s">
        <v>11</v>
      </c>
      <c r="H79" s="79" t="s">
        <v>653</v>
      </c>
      <c r="I79" s="80">
        <f>K79*(1-O79)*(P79+P79/((P79+1)^Q79-1))</f>
        <v>0.36299690552883929</v>
      </c>
      <c r="J79" s="72" t="s">
        <v>124</v>
      </c>
      <c r="K79" s="70">
        <f>1.31*M79^0.611*E79</f>
        <v>6.4080110037632831</v>
      </c>
      <c r="L79" s="79" t="s">
        <v>120</v>
      </c>
      <c r="M79" s="80">
        <f>IFERROR('計算条件（いしかわモデル）【例】'!H19/E79,0)</f>
        <v>13.44</v>
      </c>
      <c r="N79" s="1221" t="s">
        <v>243</v>
      </c>
      <c r="O79" s="81">
        <f>+③基本情報入力【例】!$Y$61</f>
        <v>0.1</v>
      </c>
      <c r="P79" s="82">
        <f>+③基本情報入力【例】!$AB$61</f>
        <v>2.3E-2</v>
      </c>
      <c r="Q79" s="83">
        <f>+③基本情報入力【例】!$AE$61</f>
        <v>20</v>
      </c>
      <c r="R79" s="72" t="s">
        <v>244</v>
      </c>
    </row>
    <row r="80" spans="1:18" ht="15.75">
      <c r="B80" s="1417"/>
      <c r="C80" s="1419"/>
      <c r="D80" s="1221"/>
      <c r="E80" s="407">
        <v>0</v>
      </c>
      <c r="F80" s="78" t="s">
        <v>8</v>
      </c>
      <c r="G80" s="79" t="s">
        <v>11</v>
      </c>
      <c r="H80" s="79" t="s">
        <v>654</v>
      </c>
      <c r="I80" s="80">
        <f>K80*(1-O80)*(P80+P80/((P80+1)^Q80-1))</f>
        <v>0</v>
      </c>
      <c r="J80" s="72" t="s">
        <v>124</v>
      </c>
      <c r="K80" s="70">
        <f>1.24*M80^0.598*E80</f>
        <v>0</v>
      </c>
      <c r="L80" s="79" t="s">
        <v>120</v>
      </c>
      <c r="M80" s="80">
        <f>+M79</f>
        <v>13.44</v>
      </c>
      <c r="N80" s="1221"/>
      <c r="O80" s="81">
        <f>+③基本情報入力【例】!$Y$63</f>
        <v>0.1</v>
      </c>
      <c r="P80" s="84">
        <f>+③基本情報入力【例】!$AB$63</f>
        <v>2.3E-2</v>
      </c>
      <c r="Q80" s="83">
        <f>+③基本情報入力【例】!$AE$63</f>
        <v>40</v>
      </c>
      <c r="R80" s="72" t="s">
        <v>244</v>
      </c>
    </row>
    <row r="81" spans="1:18" ht="15.75">
      <c r="B81" s="1417"/>
      <c r="C81" s="1419" t="s">
        <v>22</v>
      </c>
      <c r="D81" s="1221"/>
      <c r="E81" s="404">
        <f>+③基本情報入力【例】!O54</f>
        <v>1</v>
      </c>
      <c r="F81" s="78" t="s">
        <v>3</v>
      </c>
      <c r="G81" s="79" t="s">
        <v>11</v>
      </c>
      <c r="H81" s="79" t="s">
        <v>655</v>
      </c>
      <c r="I81" s="80">
        <f>K81*(1-O81)*(P81+P81/((P81+1)^Q81-1))</f>
        <v>4.075818220508026</v>
      </c>
      <c r="J81" s="72" t="s">
        <v>124</v>
      </c>
      <c r="K81" s="70">
        <f>22.7*M81^0.444*E81</f>
        <v>71.950718059989924</v>
      </c>
      <c r="L81" s="79" t="s">
        <v>120</v>
      </c>
      <c r="M81" s="80">
        <f>IFERROR('計算条件（いしかわモデル）【例】'!H19/E81,0)</f>
        <v>13.44</v>
      </c>
      <c r="N81" s="1221" t="s">
        <v>243</v>
      </c>
      <c r="O81" s="81">
        <f>+③基本情報入力【例】!$Y$61</f>
        <v>0.1</v>
      </c>
      <c r="P81" s="82">
        <f>+③基本情報入力【例】!$AB$61</f>
        <v>2.3E-2</v>
      </c>
      <c r="Q81" s="83">
        <f>+③基本情報入力【例】!$AE$61</f>
        <v>20</v>
      </c>
      <c r="R81" s="72" t="s">
        <v>244</v>
      </c>
    </row>
    <row r="82" spans="1:18" ht="14.25" customHeight="1">
      <c r="B82" s="1417"/>
      <c r="C82" s="1419"/>
      <c r="D82" s="1221"/>
      <c r="E82" s="407">
        <v>0</v>
      </c>
      <c r="F82" s="78" t="s">
        <v>8</v>
      </c>
      <c r="G82" s="79" t="s">
        <v>11</v>
      </c>
      <c r="H82" s="79" t="s">
        <v>656</v>
      </c>
      <c r="I82" s="80">
        <f>K82*(1-O82)*(P82+P82/((P82+1)^Q82-1))</f>
        <v>0</v>
      </c>
      <c r="J82" s="72" t="s">
        <v>124</v>
      </c>
      <c r="K82" s="70">
        <f>43.4*M82^0.373*E82</f>
        <v>0</v>
      </c>
      <c r="L82" s="79" t="s">
        <v>120</v>
      </c>
      <c r="M82" s="80">
        <f>+M81</f>
        <v>13.44</v>
      </c>
      <c r="N82" s="1221"/>
      <c r="O82" s="81">
        <f>+③基本情報入力【例】!$Y$63</f>
        <v>0.1</v>
      </c>
      <c r="P82" s="84">
        <f>+③基本情報入力【例】!$AB$63</f>
        <v>2.3E-2</v>
      </c>
      <c r="Q82" s="83">
        <f>+③基本情報入力【例】!$AE$63</f>
        <v>40</v>
      </c>
      <c r="R82" s="72" t="s">
        <v>244</v>
      </c>
    </row>
    <row r="83" spans="1:18" ht="16.5" thickBot="1">
      <c r="B83" s="1417"/>
      <c r="C83" s="390" t="s">
        <v>246</v>
      </c>
      <c r="D83" s="88"/>
      <c r="E83" s="116">
        <f>+③基本情報入力【例】!O53</f>
        <v>1</v>
      </c>
      <c r="F83" s="390" t="s">
        <v>4</v>
      </c>
      <c r="G83" s="87" t="s">
        <v>11</v>
      </c>
      <c r="H83" s="88" t="s">
        <v>657</v>
      </c>
      <c r="I83" s="89">
        <f>K83*(1-O83)*(P83+P83/((P83+1)^Q83-1))</f>
        <v>4.2565688572016942</v>
      </c>
      <c r="J83" s="88" t="s">
        <v>124</v>
      </c>
      <c r="K83" s="90">
        <f>17.8*M83^0.464*E83</f>
        <v>59.428841328568211</v>
      </c>
      <c r="L83" s="88" t="s">
        <v>120</v>
      </c>
      <c r="M83" s="89">
        <f>IFERROR('計算条件（いしかわモデル）【例】'!H19/E83,0)</f>
        <v>13.44</v>
      </c>
      <c r="N83" s="389" t="s">
        <v>243</v>
      </c>
      <c r="O83" s="91">
        <f>+③基本情報入力【例】!$Y$62</f>
        <v>0.1</v>
      </c>
      <c r="P83" s="92">
        <f>+③基本情報入力【例】!$AB$62</f>
        <v>2.3E-2</v>
      </c>
      <c r="Q83" s="93">
        <f>+③基本情報入力【例】!$AE$62</f>
        <v>15</v>
      </c>
      <c r="R83" s="88" t="s">
        <v>247</v>
      </c>
    </row>
    <row r="84" spans="1:18" ht="14.25" thickTop="1">
      <c r="B84" s="1418"/>
      <c r="C84" s="1434" t="s">
        <v>259</v>
      </c>
      <c r="D84" s="1434"/>
      <c r="E84" s="1434"/>
      <c r="F84" s="1434"/>
      <c r="G84" s="1434"/>
      <c r="H84" s="1434"/>
      <c r="I84" s="109">
        <f>SUM(I79:I83)</f>
        <v>8.6953839832385604</v>
      </c>
      <c r="J84" s="112" t="s">
        <v>124</v>
      </c>
      <c r="K84" s="111">
        <f>SUM(K79,K81,K83)</f>
        <v>137.78757039232141</v>
      </c>
      <c r="L84" s="112" t="s">
        <v>120</v>
      </c>
      <c r="M84" s="113"/>
      <c r="N84" s="382"/>
      <c r="O84" s="99"/>
      <c r="P84" s="100"/>
      <c r="Q84" s="101"/>
      <c r="R84" s="101"/>
    </row>
    <row r="85" spans="1:18">
      <c r="B85" s="381" t="s">
        <v>260</v>
      </c>
      <c r="C85" s="380" t="s">
        <v>231</v>
      </c>
      <c r="D85" s="380" t="s">
        <v>232</v>
      </c>
      <c r="E85" s="380" t="s">
        <v>233</v>
      </c>
      <c r="F85" s="380" t="s">
        <v>273</v>
      </c>
      <c r="G85" s="1432" t="s">
        <v>235</v>
      </c>
      <c r="H85" s="1432"/>
      <c r="I85" s="1432" t="s">
        <v>237</v>
      </c>
      <c r="J85" s="1432"/>
      <c r="K85" s="1433" t="s">
        <v>291</v>
      </c>
      <c r="L85" s="1433"/>
      <c r="M85" s="1432" t="s">
        <v>97</v>
      </c>
      <c r="N85" s="1432"/>
      <c r="O85" s="1432"/>
      <c r="P85" s="1432"/>
      <c r="Q85" s="1432"/>
      <c r="R85" s="1432"/>
    </row>
    <row r="86" spans="1:18" ht="15.75">
      <c r="B86" s="1435"/>
      <c r="C86" s="384" t="s">
        <v>241</v>
      </c>
      <c r="D86" s="385" t="s">
        <v>242</v>
      </c>
      <c r="E86" s="404">
        <f>+③基本情報入力【例】!O53</f>
        <v>1</v>
      </c>
      <c r="F86" s="78" t="s">
        <v>262</v>
      </c>
      <c r="G86" s="79" t="s">
        <v>11</v>
      </c>
      <c r="H86" s="72" t="s">
        <v>658</v>
      </c>
      <c r="I86" s="80">
        <f>0.03*K86^0.628*E86</f>
        <v>0.13678238529511105</v>
      </c>
      <c r="J86" s="72" t="s">
        <v>124</v>
      </c>
      <c r="K86" s="80">
        <f>IFERROR('計算条件（いしかわモデル）【例】'!G19/E86,0)</f>
        <v>11.2</v>
      </c>
      <c r="L86" s="385" t="s">
        <v>243</v>
      </c>
      <c r="M86" s="1217" t="s">
        <v>263</v>
      </c>
      <c r="N86" s="1218"/>
      <c r="O86" s="1218"/>
      <c r="P86" s="1218"/>
      <c r="Q86" s="1218"/>
      <c r="R86" s="1422"/>
    </row>
    <row r="87" spans="1:18" ht="15.75">
      <c r="B87" s="1435"/>
      <c r="C87" s="384" t="s">
        <v>22</v>
      </c>
      <c r="D87" s="385"/>
      <c r="E87" s="404">
        <f>+③基本情報入力【例】!O54</f>
        <v>1</v>
      </c>
      <c r="F87" s="78" t="s">
        <v>308</v>
      </c>
      <c r="G87" s="79" t="s">
        <v>11</v>
      </c>
      <c r="H87" s="72" t="s">
        <v>142</v>
      </c>
      <c r="I87" s="80">
        <f>0.039*K87^0.596*E87</f>
        <v>5.5401955709415276</v>
      </c>
      <c r="J87" s="72" t="s">
        <v>124</v>
      </c>
      <c r="K87" s="80">
        <f>IFERROR('計算条件（いしかわモデル）【例】'!G19*365/E87,0)</f>
        <v>4087.9999999999995</v>
      </c>
      <c r="L87" s="385" t="s">
        <v>265</v>
      </c>
      <c r="M87" s="1217" t="s">
        <v>266</v>
      </c>
      <c r="N87" s="1218"/>
      <c r="O87" s="1218"/>
      <c r="P87" s="1218"/>
      <c r="Q87" s="1218"/>
      <c r="R87" s="1422"/>
    </row>
    <row r="88" spans="1:18" ht="16.5" thickBot="1">
      <c r="B88" s="1435"/>
      <c r="C88" s="390" t="s">
        <v>246</v>
      </c>
      <c r="D88" s="88"/>
      <c r="E88" s="116">
        <f>+③基本情報入力【例】!O53</f>
        <v>1</v>
      </c>
      <c r="F88" s="390" t="s">
        <v>267</v>
      </c>
      <c r="G88" s="87" t="s">
        <v>11</v>
      </c>
      <c r="H88" s="88" t="s">
        <v>141</v>
      </c>
      <c r="I88" s="89">
        <f>0.0024*K88^0.533*E88</f>
        <v>0.20190475385789763</v>
      </c>
      <c r="J88" s="88" t="s">
        <v>124</v>
      </c>
      <c r="K88" s="89">
        <f>IFERROR('計算条件（いしかわモデル）【例】'!G19*365/E88,0)</f>
        <v>4087.9999999999995</v>
      </c>
      <c r="L88" s="389" t="s">
        <v>265</v>
      </c>
      <c r="M88" s="1437" t="s">
        <v>266</v>
      </c>
      <c r="N88" s="1438"/>
      <c r="O88" s="1438"/>
      <c r="P88" s="1438"/>
      <c r="Q88" s="1438"/>
      <c r="R88" s="1439"/>
    </row>
    <row r="89" spans="1:18" ht="14.25" thickTop="1">
      <c r="B89" s="1436"/>
      <c r="C89" s="1434" t="s">
        <v>259</v>
      </c>
      <c r="D89" s="1434"/>
      <c r="E89" s="1434"/>
      <c r="F89" s="1434"/>
      <c r="G89" s="1434"/>
      <c r="H89" s="1434"/>
      <c r="I89" s="109">
        <f>SUM(I86:I88)</f>
        <v>5.878882710094536</v>
      </c>
      <c r="J89" s="117" t="s">
        <v>124</v>
      </c>
      <c r="K89" s="118"/>
      <c r="L89" s="382"/>
      <c r="M89" s="1431"/>
      <c r="N89" s="1431"/>
      <c r="O89" s="1431"/>
      <c r="P89" s="1431"/>
      <c r="Q89" s="1431"/>
      <c r="R89" s="1431"/>
    </row>
    <row r="91" spans="1:18">
      <c r="A91" s="58"/>
      <c r="B91" s="148" t="str">
        <f>+③基本情報入力【例】!T51</f>
        <v>④</v>
      </c>
      <c r="C91" s="105" t="str">
        <f>+③基本情報入力【例】!T52</f>
        <v>C町西浄化センター</v>
      </c>
      <c r="D91" s="287"/>
      <c r="E91" s="287"/>
      <c r="F91" s="287"/>
      <c r="G91" s="287"/>
      <c r="H91" s="287"/>
    </row>
    <row r="92" spans="1:18">
      <c r="B92" s="400" t="s">
        <v>230</v>
      </c>
      <c r="C92" s="399" t="s">
        <v>231</v>
      </c>
      <c r="D92" s="400" t="s">
        <v>232</v>
      </c>
      <c r="E92" s="398" t="s">
        <v>233</v>
      </c>
      <c r="F92" s="400" t="s">
        <v>23</v>
      </c>
      <c r="G92" s="1440" t="s">
        <v>235</v>
      </c>
      <c r="H92" s="1441"/>
      <c r="I92" s="1415" t="s">
        <v>236</v>
      </c>
      <c r="J92" s="1415"/>
      <c r="K92" s="1442" t="s">
        <v>237</v>
      </c>
      <c r="L92" s="1442"/>
      <c r="M92" s="1443" t="s">
        <v>291</v>
      </c>
      <c r="N92" s="1443"/>
      <c r="O92" s="119" t="s">
        <v>238</v>
      </c>
      <c r="P92" s="119" t="s">
        <v>239</v>
      </c>
      <c r="Q92" s="119" t="s">
        <v>240</v>
      </c>
      <c r="R92" s="400" t="s">
        <v>97</v>
      </c>
    </row>
    <row r="93" spans="1:18" ht="15.75">
      <c r="B93" s="1417"/>
      <c r="C93" s="1419" t="s">
        <v>241</v>
      </c>
      <c r="D93" s="1221" t="s">
        <v>242</v>
      </c>
      <c r="E93" s="404">
        <f>+③基本情報入力【例】!T53</f>
        <v>1</v>
      </c>
      <c r="F93" s="78" t="s">
        <v>3</v>
      </c>
      <c r="G93" s="79" t="s">
        <v>11</v>
      </c>
      <c r="H93" s="79" t="s">
        <v>653</v>
      </c>
      <c r="I93" s="80">
        <f>K93*(1-O93)*(P93+P93/((P93+1)^Q93-1))</f>
        <v>0.30669427879447303</v>
      </c>
      <c r="J93" s="72" t="s">
        <v>124</v>
      </c>
      <c r="K93" s="70">
        <f>1.31*M93^0.611*E93</f>
        <v>5.41409660350421</v>
      </c>
      <c r="L93" s="79" t="s">
        <v>120</v>
      </c>
      <c r="M93" s="80">
        <f>IFERROR('計算条件（いしかわモデル）【例】'!H25/E93,0)</f>
        <v>10.199999999999999</v>
      </c>
      <c r="N93" s="1221" t="s">
        <v>243</v>
      </c>
      <c r="O93" s="81">
        <f>+③基本情報入力【例】!$Y$61</f>
        <v>0.1</v>
      </c>
      <c r="P93" s="82">
        <f>+③基本情報入力【例】!$AB$61</f>
        <v>2.3E-2</v>
      </c>
      <c r="Q93" s="83">
        <f>+③基本情報入力【例】!$AE$61</f>
        <v>20</v>
      </c>
      <c r="R93" s="72" t="s">
        <v>244</v>
      </c>
    </row>
    <row r="94" spans="1:18" ht="15.75">
      <c r="B94" s="1417"/>
      <c r="C94" s="1419"/>
      <c r="D94" s="1221"/>
      <c r="E94" s="404">
        <v>0</v>
      </c>
      <c r="F94" s="78" t="s">
        <v>8</v>
      </c>
      <c r="G94" s="79" t="s">
        <v>11</v>
      </c>
      <c r="H94" s="79" t="s">
        <v>654</v>
      </c>
      <c r="I94" s="80">
        <f>K94*(1-O94)*(P94+P94/((P94+1)^Q94-1))</f>
        <v>0</v>
      </c>
      <c r="J94" s="72" t="s">
        <v>124</v>
      </c>
      <c r="K94" s="70">
        <f>1.24*M94^0.598*E94</f>
        <v>0</v>
      </c>
      <c r="L94" s="79" t="s">
        <v>120</v>
      </c>
      <c r="M94" s="80">
        <f>+M93</f>
        <v>10.199999999999999</v>
      </c>
      <c r="N94" s="1221"/>
      <c r="O94" s="81">
        <f>+③基本情報入力【例】!$Y$63</f>
        <v>0.1</v>
      </c>
      <c r="P94" s="84">
        <f>+③基本情報入力【例】!$AB$63</f>
        <v>2.3E-2</v>
      </c>
      <c r="Q94" s="83">
        <f>+③基本情報入力【例】!$AE$63</f>
        <v>40</v>
      </c>
      <c r="R94" s="72" t="s">
        <v>244</v>
      </c>
    </row>
    <row r="95" spans="1:18" ht="15.75">
      <c r="B95" s="1417"/>
      <c r="C95" s="1419" t="s">
        <v>22</v>
      </c>
      <c r="D95" s="1221"/>
      <c r="E95" s="404">
        <f>+③基本情報入力【例】!T54</f>
        <v>1</v>
      </c>
      <c r="F95" s="78" t="s">
        <v>3</v>
      </c>
      <c r="G95" s="79" t="s">
        <v>11</v>
      </c>
      <c r="H95" s="79" t="s">
        <v>655</v>
      </c>
      <c r="I95" s="80">
        <f>K95*(1-O95)*(P95+P95/((P95+1)^Q95-1))</f>
        <v>3.6059857602637799</v>
      </c>
      <c r="J95" s="72" t="s">
        <v>124</v>
      </c>
      <c r="K95" s="70">
        <f>22.7*M95^0.444*E95</f>
        <v>63.6567311710821</v>
      </c>
      <c r="L95" s="79" t="s">
        <v>120</v>
      </c>
      <c r="M95" s="80">
        <f>IFERROR('計算条件（いしかわモデル）【例】'!H25/E95,0)</f>
        <v>10.199999999999999</v>
      </c>
      <c r="N95" s="1221" t="s">
        <v>243</v>
      </c>
      <c r="O95" s="81">
        <f>+③基本情報入力【例】!$Y$61</f>
        <v>0.1</v>
      </c>
      <c r="P95" s="82">
        <f>+③基本情報入力【例】!$AB$61</f>
        <v>2.3E-2</v>
      </c>
      <c r="Q95" s="83">
        <f>+③基本情報入力【例】!$AE$61</f>
        <v>20</v>
      </c>
      <c r="R95" s="72" t="s">
        <v>244</v>
      </c>
    </row>
    <row r="96" spans="1:18" ht="15.75">
      <c r="B96" s="1417"/>
      <c r="C96" s="1419"/>
      <c r="D96" s="1221"/>
      <c r="E96" s="404">
        <v>0</v>
      </c>
      <c r="F96" s="78" t="s">
        <v>8</v>
      </c>
      <c r="G96" s="79" t="s">
        <v>11</v>
      </c>
      <c r="H96" s="79" t="s">
        <v>656</v>
      </c>
      <c r="I96" s="80">
        <f>K96*(1-O96)*(P96+P96/((P96+1)^Q96-1))</f>
        <v>0</v>
      </c>
      <c r="J96" s="72" t="s">
        <v>124</v>
      </c>
      <c r="K96" s="70">
        <f>43.4*M96^0.373*E96</f>
        <v>0</v>
      </c>
      <c r="L96" s="79" t="s">
        <v>120</v>
      </c>
      <c r="M96" s="80">
        <f>+M95</f>
        <v>10.199999999999999</v>
      </c>
      <c r="N96" s="1221"/>
      <c r="O96" s="81">
        <f>+③基本情報入力【例】!$Y$63</f>
        <v>0.1</v>
      </c>
      <c r="P96" s="84">
        <f>+③基本情報入力【例】!$AB$63</f>
        <v>2.3E-2</v>
      </c>
      <c r="Q96" s="83">
        <f>+③基本情報入力【例】!$AE$63</f>
        <v>40</v>
      </c>
      <c r="R96" s="72" t="s">
        <v>244</v>
      </c>
    </row>
    <row r="97" spans="1:19" ht="16.5" thickBot="1">
      <c r="B97" s="1417"/>
      <c r="C97" s="390" t="s">
        <v>246</v>
      </c>
      <c r="D97" s="88"/>
      <c r="E97" s="116">
        <f>+③基本情報入力【例】!T53</f>
        <v>1</v>
      </c>
      <c r="F97" s="390" t="s">
        <v>4</v>
      </c>
      <c r="G97" s="87" t="s">
        <v>11</v>
      </c>
      <c r="H97" s="88" t="s">
        <v>657</v>
      </c>
      <c r="I97" s="89">
        <f>K97*(1-O97)*(P97+P97/((P97+1)^Q97-1))</f>
        <v>3.7451816104105804</v>
      </c>
      <c r="J97" s="88" t="s">
        <v>124</v>
      </c>
      <c r="K97" s="90">
        <f>17.8*M97^0.464*E97</f>
        <v>52.289017548768754</v>
      </c>
      <c r="L97" s="88" t="s">
        <v>120</v>
      </c>
      <c r="M97" s="89">
        <f>IFERROR('計算条件（いしかわモデル）【例】'!H25/E97,0)</f>
        <v>10.199999999999999</v>
      </c>
      <c r="N97" s="389" t="s">
        <v>243</v>
      </c>
      <c r="O97" s="91">
        <f>+③基本情報入力【例】!$Y$62</f>
        <v>0.1</v>
      </c>
      <c r="P97" s="92">
        <f>+③基本情報入力【例】!$AB$62</f>
        <v>2.3E-2</v>
      </c>
      <c r="Q97" s="93">
        <f>+③基本情報入力【例】!$AE$62</f>
        <v>15</v>
      </c>
      <c r="R97" s="88" t="s">
        <v>247</v>
      </c>
    </row>
    <row r="98" spans="1:19" ht="14.25" thickTop="1">
      <c r="B98" s="1418"/>
      <c r="C98" s="1434" t="s">
        <v>259</v>
      </c>
      <c r="D98" s="1434"/>
      <c r="E98" s="1434"/>
      <c r="F98" s="1434"/>
      <c r="G98" s="1434"/>
      <c r="H98" s="1434"/>
      <c r="I98" s="109">
        <f>SUM(I93:I97)</f>
        <v>7.657861649468833</v>
      </c>
      <c r="J98" s="112" t="s">
        <v>124</v>
      </c>
      <c r="K98" s="111">
        <f>SUM(K93,K95,K97)</f>
        <v>121.35984532335506</v>
      </c>
      <c r="L98" s="112" t="s">
        <v>120</v>
      </c>
      <c r="M98" s="120"/>
      <c r="N98" s="121"/>
      <c r="O98" s="122"/>
      <c r="P98" s="123"/>
      <c r="Q98" s="124"/>
      <c r="R98" s="124"/>
      <c r="S98" s="101"/>
    </row>
    <row r="99" spans="1:19">
      <c r="B99" s="381" t="s">
        <v>260</v>
      </c>
      <c r="C99" s="380" t="s">
        <v>231</v>
      </c>
      <c r="D99" s="380" t="s">
        <v>232</v>
      </c>
      <c r="E99" s="380" t="s">
        <v>233</v>
      </c>
      <c r="F99" s="380" t="s">
        <v>273</v>
      </c>
      <c r="G99" s="1432" t="s">
        <v>235</v>
      </c>
      <c r="H99" s="1432"/>
      <c r="I99" s="1432" t="s">
        <v>237</v>
      </c>
      <c r="J99" s="1432"/>
      <c r="K99" s="1433" t="s">
        <v>291</v>
      </c>
      <c r="L99" s="1433"/>
      <c r="M99" s="1432" t="s">
        <v>97</v>
      </c>
      <c r="N99" s="1432"/>
      <c r="O99" s="1432"/>
      <c r="P99" s="1432"/>
      <c r="Q99" s="1432"/>
      <c r="R99" s="1432"/>
    </row>
    <row r="100" spans="1:19" ht="15.75">
      <c r="B100" s="1435"/>
      <c r="C100" s="384" t="s">
        <v>241</v>
      </c>
      <c r="D100" s="385" t="s">
        <v>242</v>
      </c>
      <c r="E100" s="404">
        <f>+③基本情報入力【例】!T53</f>
        <v>1</v>
      </c>
      <c r="F100" s="78" t="s">
        <v>262</v>
      </c>
      <c r="G100" s="79" t="s">
        <v>11</v>
      </c>
      <c r="H100" s="72" t="s">
        <v>658</v>
      </c>
      <c r="I100" s="80">
        <f>0.03*K100^0.628*E100</f>
        <v>0.11502608541510088</v>
      </c>
      <c r="J100" s="72" t="s">
        <v>124</v>
      </c>
      <c r="K100" s="80">
        <f>IFERROR('計算条件（いしかわモデル）【例】'!G25/E100,0)</f>
        <v>8.5</v>
      </c>
      <c r="L100" s="385" t="s">
        <v>243</v>
      </c>
      <c r="M100" s="1217" t="s">
        <v>263</v>
      </c>
      <c r="N100" s="1218"/>
      <c r="O100" s="1218"/>
      <c r="P100" s="1218"/>
      <c r="Q100" s="1218"/>
      <c r="R100" s="1422"/>
    </row>
    <row r="101" spans="1:19" ht="15.75">
      <c r="B101" s="1435"/>
      <c r="C101" s="384" t="s">
        <v>22</v>
      </c>
      <c r="D101" s="385"/>
      <c r="E101" s="404">
        <f>+③基本情報入力【例】!T54</f>
        <v>1</v>
      </c>
      <c r="F101" s="78" t="s">
        <v>308</v>
      </c>
      <c r="G101" s="79" t="s">
        <v>11</v>
      </c>
      <c r="H101" s="72" t="s">
        <v>142</v>
      </c>
      <c r="I101" s="80">
        <f>0.039*K101^0.596*E101</f>
        <v>4.7002919477360781</v>
      </c>
      <c r="J101" s="72" t="s">
        <v>124</v>
      </c>
      <c r="K101" s="80">
        <f>IFERROR('計算条件（いしかわモデル）【例】'!G25*365/E101,0)</f>
        <v>3102.5</v>
      </c>
      <c r="L101" s="385" t="s">
        <v>265</v>
      </c>
      <c r="M101" s="1217" t="s">
        <v>266</v>
      </c>
      <c r="N101" s="1218"/>
      <c r="O101" s="1218"/>
      <c r="P101" s="1218"/>
      <c r="Q101" s="1218"/>
      <c r="R101" s="1422"/>
    </row>
    <row r="102" spans="1:19" ht="16.5" thickBot="1">
      <c r="B102" s="1435"/>
      <c r="C102" s="390" t="s">
        <v>246</v>
      </c>
      <c r="D102" s="88"/>
      <c r="E102" s="116">
        <f>+③基本情報入力【例】!T53</f>
        <v>1</v>
      </c>
      <c r="F102" s="390" t="s">
        <v>267</v>
      </c>
      <c r="G102" s="87" t="s">
        <v>11</v>
      </c>
      <c r="H102" s="88" t="s">
        <v>141</v>
      </c>
      <c r="I102" s="89">
        <f>0.0024*K102^0.533*E102</f>
        <v>0.17429849046934351</v>
      </c>
      <c r="J102" s="88" t="s">
        <v>124</v>
      </c>
      <c r="K102" s="89">
        <f>IFERROR('計算条件（いしかわモデル）【例】'!G25*365/E102,0)</f>
        <v>3102.5</v>
      </c>
      <c r="L102" s="389" t="s">
        <v>265</v>
      </c>
      <c r="M102" s="1437" t="s">
        <v>266</v>
      </c>
      <c r="N102" s="1438"/>
      <c r="O102" s="1438"/>
      <c r="P102" s="1438"/>
      <c r="Q102" s="1438"/>
      <c r="R102" s="1439"/>
    </row>
    <row r="103" spans="1:19" ht="14.25" thickTop="1">
      <c r="B103" s="1436"/>
      <c r="C103" s="1434" t="s">
        <v>259</v>
      </c>
      <c r="D103" s="1434"/>
      <c r="E103" s="1434"/>
      <c r="F103" s="1434"/>
      <c r="G103" s="1434"/>
      <c r="H103" s="1434"/>
      <c r="I103" s="109">
        <f>SUM(I100:I102)</f>
        <v>4.9896165236205228</v>
      </c>
      <c r="J103" s="117" t="s">
        <v>124</v>
      </c>
    </row>
    <row r="105" spans="1:19">
      <c r="C105" s="473"/>
    </row>
    <row r="106" spans="1:19">
      <c r="A106" s="58"/>
      <c r="B106" s="148" t="str">
        <f>+③基本情報入力【例】!Y51</f>
        <v>⑤</v>
      </c>
      <c r="C106" s="58" t="str">
        <f>+③基本情報入力【例】!Y52</f>
        <v>C町東浄化センター</v>
      </c>
    </row>
    <row r="107" spans="1:19">
      <c r="B107" s="398" t="s">
        <v>230</v>
      </c>
      <c r="C107" s="383" t="s">
        <v>231</v>
      </c>
      <c r="D107" s="383" t="s">
        <v>232</v>
      </c>
      <c r="E107" s="383" t="s">
        <v>233</v>
      </c>
      <c r="F107" s="383" t="s">
        <v>23</v>
      </c>
      <c r="G107" s="1415" t="s">
        <v>235</v>
      </c>
      <c r="H107" s="1415"/>
      <c r="I107" s="1415" t="s">
        <v>236</v>
      </c>
      <c r="J107" s="1415"/>
      <c r="K107" s="1415" t="s">
        <v>237</v>
      </c>
      <c r="L107" s="1415"/>
      <c r="M107" s="1416" t="s">
        <v>291</v>
      </c>
      <c r="N107" s="1416"/>
      <c r="O107" s="77" t="s">
        <v>238</v>
      </c>
      <c r="P107" s="77" t="s">
        <v>239</v>
      </c>
      <c r="Q107" s="77" t="s">
        <v>240</v>
      </c>
      <c r="R107" s="383" t="s">
        <v>97</v>
      </c>
    </row>
    <row r="108" spans="1:19" ht="15.75">
      <c r="B108" s="1417"/>
      <c r="C108" s="1419" t="s">
        <v>241</v>
      </c>
      <c r="D108" s="1221" t="s">
        <v>242</v>
      </c>
      <c r="E108" s="404">
        <f>+③基本情報入力【例】!Y53</f>
        <v>1</v>
      </c>
      <c r="F108" s="78" t="s">
        <v>3</v>
      </c>
      <c r="G108" s="79" t="s">
        <v>11</v>
      </c>
      <c r="H108" s="79" t="s">
        <v>653</v>
      </c>
      <c r="I108" s="80">
        <f>K108*(1-O108)*(P108+P108/((P108+1)^Q108-1))</f>
        <v>2.6026901604477355E-2</v>
      </c>
      <c r="J108" s="72" t="s">
        <v>124</v>
      </c>
      <c r="K108" s="70">
        <f>1.31*M108^0.611*E108</f>
        <v>0.45945480342973549</v>
      </c>
      <c r="L108" s="79" t="s">
        <v>120</v>
      </c>
      <c r="M108" s="80">
        <f>IFERROR('計算条件（いしかわモデル）【例】'!H31/E108,0)</f>
        <v>0.18</v>
      </c>
      <c r="N108" s="1221" t="s">
        <v>243</v>
      </c>
      <c r="O108" s="81">
        <f>+③基本情報入力【例】!$Y$61</f>
        <v>0.1</v>
      </c>
      <c r="P108" s="82">
        <f>+③基本情報入力【例】!$AB$61</f>
        <v>2.3E-2</v>
      </c>
      <c r="Q108" s="83">
        <f>+③基本情報入力【例】!$AE$61</f>
        <v>20</v>
      </c>
      <c r="R108" s="72" t="s">
        <v>244</v>
      </c>
    </row>
    <row r="109" spans="1:19" ht="15.75">
      <c r="B109" s="1417"/>
      <c r="C109" s="1419"/>
      <c r="D109" s="1221"/>
      <c r="E109" s="404">
        <v>0</v>
      </c>
      <c r="F109" s="78" t="s">
        <v>8</v>
      </c>
      <c r="G109" s="79" t="s">
        <v>11</v>
      </c>
      <c r="H109" s="79" t="s">
        <v>654</v>
      </c>
      <c r="I109" s="80">
        <f>K109*(1-O109)*(P109+P109/((P109+1)^Q109-1))</f>
        <v>0</v>
      </c>
      <c r="J109" s="72" t="s">
        <v>124</v>
      </c>
      <c r="K109" s="70">
        <f>1.24*M109^0.598*E109</f>
        <v>0</v>
      </c>
      <c r="L109" s="79" t="s">
        <v>120</v>
      </c>
      <c r="M109" s="80">
        <f>+M108</f>
        <v>0.18</v>
      </c>
      <c r="N109" s="1221"/>
      <c r="O109" s="81">
        <f>+③基本情報入力【例】!$Y$63</f>
        <v>0.1</v>
      </c>
      <c r="P109" s="84">
        <f>+③基本情報入力【例】!$AB$63</f>
        <v>2.3E-2</v>
      </c>
      <c r="Q109" s="83">
        <f>+③基本情報入力【例】!$AE$63</f>
        <v>40</v>
      </c>
      <c r="R109" s="72" t="s">
        <v>244</v>
      </c>
    </row>
    <row r="110" spans="1:19" ht="15.75">
      <c r="B110" s="1417"/>
      <c r="C110" s="1419" t="s">
        <v>22</v>
      </c>
      <c r="D110" s="1221"/>
      <c r="E110" s="404">
        <f>+③基本情報入力【例】!Y54</f>
        <v>0</v>
      </c>
      <c r="F110" s="78" t="s">
        <v>3</v>
      </c>
      <c r="G110" s="79" t="s">
        <v>11</v>
      </c>
      <c r="H110" s="79" t="s">
        <v>655</v>
      </c>
      <c r="I110" s="80">
        <f>K110*(1-O110)*(P110+P110/((P110+1)^Q110-1))</f>
        <v>0</v>
      </c>
      <c r="J110" s="72" t="s">
        <v>124</v>
      </c>
      <c r="K110" s="70">
        <f>22.7*M110^0.444*E110</f>
        <v>0</v>
      </c>
      <c r="L110" s="79" t="s">
        <v>120</v>
      </c>
      <c r="M110" s="80">
        <f>IFERROR('計算条件（いしかわモデル）【例】'!H31/E110,0)</f>
        <v>0</v>
      </c>
      <c r="N110" s="1221" t="s">
        <v>243</v>
      </c>
      <c r="O110" s="81">
        <f>+③基本情報入力【例】!$Y$61</f>
        <v>0.1</v>
      </c>
      <c r="P110" s="82">
        <f>+③基本情報入力【例】!$AB$61</f>
        <v>2.3E-2</v>
      </c>
      <c r="Q110" s="83">
        <f>+③基本情報入力【例】!$AE$61</f>
        <v>20</v>
      </c>
      <c r="R110" s="72" t="s">
        <v>244</v>
      </c>
    </row>
    <row r="111" spans="1:19" ht="15.75">
      <c r="B111" s="1417"/>
      <c r="C111" s="1419"/>
      <c r="D111" s="1221"/>
      <c r="E111" s="404">
        <v>0</v>
      </c>
      <c r="F111" s="78" t="s">
        <v>8</v>
      </c>
      <c r="G111" s="79" t="s">
        <v>11</v>
      </c>
      <c r="H111" s="79" t="s">
        <v>656</v>
      </c>
      <c r="I111" s="80">
        <f>K111*(1-O111)*(P111+P111/((P111+1)^Q111-1))</f>
        <v>0</v>
      </c>
      <c r="J111" s="72" t="s">
        <v>124</v>
      </c>
      <c r="K111" s="70">
        <f>43.4*M111^0.373*E111</f>
        <v>0</v>
      </c>
      <c r="L111" s="79" t="s">
        <v>120</v>
      </c>
      <c r="M111" s="80">
        <f>+M110</f>
        <v>0</v>
      </c>
      <c r="N111" s="1221"/>
      <c r="O111" s="81">
        <f>+③基本情報入力【例】!$Y$63</f>
        <v>0.1</v>
      </c>
      <c r="P111" s="84">
        <f>+③基本情報入力【例】!$AB$63</f>
        <v>2.3E-2</v>
      </c>
      <c r="Q111" s="83">
        <f>+③基本情報入力【例】!$AE$63</f>
        <v>40</v>
      </c>
      <c r="R111" s="72" t="s">
        <v>244</v>
      </c>
    </row>
    <row r="112" spans="1:19" ht="16.5" thickBot="1">
      <c r="B112" s="1417"/>
      <c r="C112" s="390" t="s">
        <v>246</v>
      </c>
      <c r="D112" s="88"/>
      <c r="E112" s="116">
        <f>+③基本情報入力【例】!Y53</f>
        <v>1</v>
      </c>
      <c r="F112" s="390" t="s">
        <v>4</v>
      </c>
      <c r="G112" s="87" t="s">
        <v>11</v>
      </c>
      <c r="H112" s="88" t="s">
        <v>657</v>
      </c>
      <c r="I112" s="89">
        <f>K112*(1-O112)*(P112+P112/((P112+1)^Q112-1))</f>
        <v>0.57534566461505443</v>
      </c>
      <c r="J112" s="88" t="s">
        <v>124</v>
      </c>
      <c r="K112" s="90">
        <f>17.8*M112^0.464*E112</f>
        <v>8.0327905781761277</v>
      </c>
      <c r="L112" s="88" t="s">
        <v>120</v>
      </c>
      <c r="M112" s="89">
        <f>IFERROR('計算条件（いしかわモデル）【例】'!H31/E112,0)</f>
        <v>0.18</v>
      </c>
      <c r="N112" s="389" t="s">
        <v>243</v>
      </c>
      <c r="O112" s="91">
        <f>+③基本情報入力【例】!$Y$62</f>
        <v>0.1</v>
      </c>
      <c r="P112" s="92">
        <f>+③基本情報入力【例】!$AB$62</f>
        <v>2.3E-2</v>
      </c>
      <c r="Q112" s="93">
        <f>+③基本情報入力【例】!$AE$62</f>
        <v>15</v>
      </c>
      <c r="R112" s="88" t="s">
        <v>247</v>
      </c>
    </row>
    <row r="113" spans="1:18" ht="14.25" thickTop="1">
      <c r="B113" s="1418"/>
      <c r="C113" s="1434" t="s">
        <v>259</v>
      </c>
      <c r="D113" s="1434"/>
      <c r="E113" s="1434"/>
      <c r="F113" s="1434"/>
      <c r="G113" s="1434"/>
      <c r="H113" s="1434"/>
      <c r="I113" s="109">
        <f>SUM(I108:I112)</f>
        <v>0.60137256621953183</v>
      </c>
      <c r="J113" s="112" t="s">
        <v>124</v>
      </c>
      <c r="K113" s="111">
        <f>SUM(K108,K110,K112)</f>
        <v>8.4922453816058638</v>
      </c>
      <c r="L113" s="112" t="s">
        <v>120</v>
      </c>
    </row>
    <row r="114" spans="1:18">
      <c r="B114" s="125" t="s">
        <v>260</v>
      </c>
      <c r="C114" s="380" t="s">
        <v>231</v>
      </c>
      <c r="D114" s="380" t="s">
        <v>232</v>
      </c>
      <c r="E114" s="380" t="s">
        <v>233</v>
      </c>
      <c r="F114" s="380" t="s">
        <v>273</v>
      </c>
      <c r="G114" s="1432" t="s">
        <v>235</v>
      </c>
      <c r="H114" s="1432"/>
      <c r="I114" s="1432" t="s">
        <v>237</v>
      </c>
      <c r="J114" s="1432"/>
      <c r="K114" s="1433" t="s">
        <v>291</v>
      </c>
      <c r="L114" s="1433"/>
      <c r="M114" s="1432" t="s">
        <v>97</v>
      </c>
      <c r="N114" s="1432"/>
      <c r="O114" s="1432"/>
      <c r="P114" s="1432"/>
      <c r="Q114" s="1432"/>
      <c r="R114" s="1432"/>
    </row>
    <row r="115" spans="1:18" ht="15.75">
      <c r="B115" s="1435"/>
      <c r="C115" s="384" t="s">
        <v>241</v>
      </c>
      <c r="D115" s="385" t="s">
        <v>242</v>
      </c>
      <c r="E115" s="404">
        <f>+③基本情報入力【例】!Y53</f>
        <v>1</v>
      </c>
      <c r="F115" s="78" t="s">
        <v>262</v>
      </c>
      <c r="G115" s="79" t="s">
        <v>11</v>
      </c>
      <c r="H115" s="72" t="s">
        <v>658</v>
      </c>
      <c r="I115" s="80">
        <f>0.03*K115^0.628*E115</f>
        <v>9.1139483995228334E-3</v>
      </c>
      <c r="J115" s="72" t="s">
        <v>124</v>
      </c>
      <c r="K115" s="80">
        <f>IFERROR('計算条件（いしかわモデル）【例】'!G31/E115,0)</f>
        <v>0.15</v>
      </c>
      <c r="L115" s="385" t="s">
        <v>243</v>
      </c>
      <c r="M115" s="1217" t="s">
        <v>263</v>
      </c>
      <c r="N115" s="1218"/>
      <c r="O115" s="1218"/>
      <c r="P115" s="1218"/>
      <c r="Q115" s="1218"/>
      <c r="R115" s="1422"/>
    </row>
    <row r="116" spans="1:18" ht="15.75">
      <c r="B116" s="1435"/>
      <c r="C116" s="384" t="s">
        <v>22</v>
      </c>
      <c r="D116" s="385"/>
      <c r="E116" s="404">
        <f>+③基本情報入力【例】!Y54</f>
        <v>0</v>
      </c>
      <c r="F116" s="78" t="s">
        <v>308</v>
      </c>
      <c r="G116" s="79" t="s">
        <v>11</v>
      </c>
      <c r="H116" s="72" t="s">
        <v>142</v>
      </c>
      <c r="I116" s="80">
        <f>0.039*K116^0.596*E116</f>
        <v>0</v>
      </c>
      <c r="J116" s="72" t="s">
        <v>124</v>
      </c>
      <c r="K116" s="80">
        <f>IFERROR('計算条件（いしかわモデル）【例】'!G31*365/E116,0)</f>
        <v>0</v>
      </c>
      <c r="L116" s="385" t="s">
        <v>265</v>
      </c>
      <c r="M116" s="1217" t="s">
        <v>266</v>
      </c>
      <c r="N116" s="1218"/>
      <c r="O116" s="1218"/>
      <c r="P116" s="1218"/>
      <c r="Q116" s="1218"/>
      <c r="R116" s="1422"/>
    </row>
    <row r="117" spans="1:18" ht="16.5" thickBot="1">
      <c r="B117" s="1435"/>
      <c r="C117" s="390" t="s">
        <v>246</v>
      </c>
      <c r="D117" s="88"/>
      <c r="E117" s="116">
        <f>+③基本情報入力【例】!Y53</f>
        <v>1</v>
      </c>
      <c r="F117" s="390" t="s">
        <v>267</v>
      </c>
      <c r="G117" s="87" t="s">
        <v>11</v>
      </c>
      <c r="H117" s="88" t="s">
        <v>141</v>
      </c>
      <c r="I117" s="89">
        <f>0.0024*K117^0.533*E117</f>
        <v>2.0266090586042059E-2</v>
      </c>
      <c r="J117" s="88" t="s">
        <v>124</v>
      </c>
      <c r="K117" s="89">
        <f>IFERROR('計算条件（いしかわモデル）【例】'!G31*365/E117,0)</f>
        <v>54.75</v>
      </c>
      <c r="L117" s="389" t="s">
        <v>265</v>
      </c>
      <c r="M117" s="1437" t="s">
        <v>266</v>
      </c>
      <c r="N117" s="1438"/>
      <c r="O117" s="1438"/>
      <c r="P117" s="1438"/>
      <c r="Q117" s="1438"/>
      <c r="R117" s="1439"/>
    </row>
    <row r="118" spans="1:18" ht="14.25" thickTop="1">
      <c r="B118" s="1436"/>
      <c r="C118" s="1434" t="s">
        <v>259</v>
      </c>
      <c r="D118" s="1434"/>
      <c r="E118" s="1434"/>
      <c r="F118" s="1434"/>
      <c r="G118" s="1434"/>
      <c r="H118" s="1434"/>
      <c r="I118" s="109">
        <f>SUM(I115:I117)</f>
        <v>2.9380038985564891E-2</v>
      </c>
      <c r="J118" s="117" t="s">
        <v>124</v>
      </c>
    </row>
    <row r="120" spans="1:18">
      <c r="A120" s="58"/>
      <c r="B120" s="148" t="str">
        <f>+③基本情報入力【例】!AD51</f>
        <v>⑥</v>
      </c>
      <c r="C120" s="58" t="str">
        <f>+③基本情報入力【例】!AD52</f>
        <v>C町中部浄化センター</v>
      </c>
    </row>
    <row r="121" spans="1:18">
      <c r="B121" s="400" t="s">
        <v>230</v>
      </c>
      <c r="C121" s="383" t="s">
        <v>231</v>
      </c>
      <c r="D121" s="383" t="s">
        <v>232</v>
      </c>
      <c r="E121" s="383" t="s">
        <v>233</v>
      </c>
      <c r="F121" s="383" t="s">
        <v>23</v>
      </c>
      <c r="G121" s="1444" t="s">
        <v>235</v>
      </c>
      <c r="H121" s="1445"/>
      <c r="I121" s="1444" t="s">
        <v>236</v>
      </c>
      <c r="J121" s="1445"/>
      <c r="K121" s="1444" t="s">
        <v>237</v>
      </c>
      <c r="L121" s="1445"/>
      <c r="M121" s="1446" t="s">
        <v>291</v>
      </c>
      <c r="N121" s="1447"/>
      <c r="O121" s="77" t="s">
        <v>238</v>
      </c>
      <c r="P121" s="77" t="s">
        <v>239</v>
      </c>
      <c r="Q121" s="77" t="s">
        <v>240</v>
      </c>
      <c r="R121" s="383" t="s">
        <v>97</v>
      </c>
    </row>
    <row r="122" spans="1:18" ht="15.75">
      <c r="B122" s="1417"/>
      <c r="C122" s="1423" t="s">
        <v>241</v>
      </c>
      <c r="D122" s="1347" t="s">
        <v>242</v>
      </c>
      <c r="E122" s="404">
        <f>+③基本情報入力【例】!AD53</f>
        <v>1</v>
      </c>
      <c r="F122" s="78" t="s">
        <v>3</v>
      </c>
      <c r="G122" s="79" t="s">
        <v>11</v>
      </c>
      <c r="H122" s="79" t="s">
        <v>653</v>
      </c>
      <c r="I122" s="80">
        <f>K122*(1-O122)*(P122+P122/((P122+1)^Q122-1))</f>
        <v>0.21630626929955107</v>
      </c>
      <c r="J122" s="72" t="s">
        <v>124</v>
      </c>
      <c r="K122" s="70">
        <f>1.31*M122^0.611*E122</f>
        <v>3.8184704407745569</v>
      </c>
      <c r="L122" s="79" t="s">
        <v>120</v>
      </c>
      <c r="M122" s="80">
        <f>IFERROR('計算条件（いしかわモデル）【例】'!H37/E122,0)</f>
        <v>5.76</v>
      </c>
      <c r="N122" s="1347" t="s">
        <v>243</v>
      </c>
      <c r="O122" s="81">
        <f>+③基本情報入力【例】!$Y$61</f>
        <v>0.1</v>
      </c>
      <c r="P122" s="82">
        <f>+③基本情報入力【例】!$AB$61</f>
        <v>2.3E-2</v>
      </c>
      <c r="Q122" s="83">
        <f>+③基本情報入力【例】!$AE$61</f>
        <v>20</v>
      </c>
      <c r="R122" s="72" t="s">
        <v>244</v>
      </c>
    </row>
    <row r="123" spans="1:18" ht="15.75">
      <c r="B123" s="1417"/>
      <c r="C123" s="1453"/>
      <c r="D123" s="1349"/>
      <c r="E123" s="407">
        <v>0</v>
      </c>
      <c r="F123" s="78" t="s">
        <v>8</v>
      </c>
      <c r="G123" s="79" t="s">
        <v>11</v>
      </c>
      <c r="H123" s="79" t="s">
        <v>654</v>
      </c>
      <c r="I123" s="80">
        <f>K123*(1-O123)*(P123+P123/((P123+1)^Q123-1))</f>
        <v>0</v>
      </c>
      <c r="J123" s="72" t="s">
        <v>124</v>
      </c>
      <c r="K123" s="70">
        <f>1.24*M123^0.598*E123</f>
        <v>0</v>
      </c>
      <c r="L123" s="79" t="s">
        <v>120</v>
      </c>
      <c r="M123" s="80">
        <f>+M122</f>
        <v>5.76</v>
      </c>
      <c r="N123" s="1349"/>
      <c r="O123" s="81">
        <f>+③基本情報入力【例】!$Y$63</f>
        <v>0.1</v>
      </c>
      <c r="P123" s="84">
        <f>+③基本情報入力【例】!$AB$63</f>
        <v>2.3E-2</v>
      </c>
      <c r="Q123" s="83">
        <f>+③基本情報入力【例】!$AE$63</f>
        <v>40</v>
      </c>
      <c r="R123" s="72" t="s">
        <v>244</v>
      </c>
    </row>
    <row r="124" spans="1:18" ht="15.75">
      <c r="B124" s="1417"/>
      <c r="C124" s="1423" t="s">
        <v>22</v>
      </c>
      <c r="D124" s="1347"/>
      <c r="E124" s="404">
        <f>+③基本情報入力【例】!AD54</f>
        <v>1</v>
      </c>
      <c r="F124" s="78" t="s">
        <v>3</v>
      </c>
      <c r="G124" s="79" t="s">
        <v>11</v>
      </c>
      <c r="H124" s="79" t="s">
        <v>655</v>
      </c>
      <c r="I124" s="80">
        <f>K124*(1-O124)*(P124+P124/((P124+1)^Q124-1))</f>
        <v>2.7979059624529494</v>
      </c>
      <c r="J124" s="72" t="s">
        <v>124</v>
      </c>
      <c r="K124" s="70">
        <f>22.7*M124^0.444*E124</f>
        <v>49.391639217345833</v>
      </c>
      <c r="L124" s="79" t="s">
        <v>120</v>
      </c>
      <c r="M124" s="80">
        <f>IFERROR('計算条件（いしかわモデル）【例】'!H37/E124,0)</f>
        <v>5.76</v>
      </c>
      <c r="N124" s="1347" t="s">
        <v>243</v>
      </c>
      <c r="O124" s="81">
        <f>+③基本情報入力【例】!$Y$61</f>
        <v>0.1</v>
      </c>
      <c r="P124" s="82">
        <f>+③基本情報入力【例】!$AB$61</f>
        <v>2.3E-2</v>
      </c>
      <c r="Q124" s="83">
        <f>+③基本情報入力【例】!$AE$61</f>
        <v>20</v>
      </c>
      <c r="R124" s="72" t="s">
        <v>244</v>
      </c>
    </row>
    <row r="125" spans="1:18" ht="15.75">
      <c r="B125" s="1417"/>
      <c r="C125" s="1453"/>
      <c r="D125" s="1349"/>
      <c r="E125" s="407">
        <v>0</v>
      </c>
      <c r="F125" s="78" t="s">
        <v>8</v>
      </c>
      <c r="G125" s="79" t="s">
        <v>11</v>
      </c>
      <c r="H125" s="79" t="s">
        <v>656</v>
      </c>
      <c r="I125" s="80">
        <f>K125*(1-O125)*(P125+P125/((P125+1)^Q125-1))</f>
        <v>0</v>
      </c>
      <c r="J125" s="72" t="s">
        <v>124</v>
      </c>
      <c r="K125" s="70">
        <f>43.4*M125^0.373*E125</f>
        <v>0</v>
      </c>
      <c r="L125" s="79" t="s">
        <v>120</v>
      </c>
      <c r="M125" s="80">
        <f>+M124</f>
        <v>5.76</v>
      </c>
      <c r="N125" s="1349"/>
      <c r="O125" s="81">
        <f>+③基本情報入力【例】!$Y$63</f>
        <v>0.1</v>
      </c>
      <c r="P125" s="84">
        <f>+③基本情報入力【例】!$AB$63</f>
        <v>2.3E-2</v>
      </c>
      <c r="Q125" s="83">
        <f>+③基本情報入力【例】!$AE$63</f>
        <v>40</v>
      </c>
      <c r="R125" s="72" t="s">
        <v>244</v>
      </c>
    </row>
    <row r="126" spans="1:18" ht="16.5" thickBot="1">
      <c r="B126" s="1417"/>
      <c r="C126" s="390" t="s">
        <v>246</v>
      </c>
      <c r="D126" s="88"/>
      <c r="E126" s="116">
        <f>+③基本情報入力【例】!AD53</f>
        <v>1</v>
      </c>
      <c r="F126" s="390" t="s">
        <v>4</v>
      </c>
      <c r="G126" s="87" t="s">
        <v>11</v>
      </c>
      <c r="H126" s="88" t="s">
        <v>657</v>
      </c>
      <c r="I126" s="89">
        <f>K126*(1-O126)*(P126+P126/((P126+1)^Q126-1))</f>
        <v>2.8728862772682953</v>
      </c>
      <c r="J126" s="88" t="s">
        <v>124</v>
      </c>
      <c r="K126" s="90">
        <f>17.8*M126^0.464*E126</f>
        <v>40.110311486665211</v>
      </c>
      <c r="L126" s="88" t="s">
        <v>120</v>
      </c>
      <c r="M126" s="89">
        <f>IFERROR('計算条件（いしかわモデル）【例】'!H37/E126,0)</f>
        <v>5.76</v>
      </c>
      <c r="N126" s="389" t="s">
        <v>243</v>
      </c>
      <c r="O126" s="91">
        <f>+③基本情報入力【例】!$Y$62</f>
        <v>0.1</v>
      </c>
      <c r="P126" s="92">
        <f>+③基本情報入力【例】!$AB$62</f>
        <v>2.3E-2</v>
      </c>
      <c r="Q126" s="93">
        <f>+③基本情報入力【例】!$AE$62</f>
        <v>15</v>
      </c>
      <c r="R126" s="88" t="s">
        <v>247</v>
      </c>
    </row>
    <row r="127" spans="1:18" ht="14.25" thickTop="1">
      <c r="B127" s="1418"/>
      <c r="C127" s="1448" t="s">
        <v>259</v>
      </c>
      <c r="D127" s="1449"/>
      <c r="E127" s="1449"/>
      <c r="F127" s="1449"/>
      <c r="G127" s="1449"/>
      <c r="H127" s="1450"/>
      <c r="I127" s="109">
        <f>SUM(I122:I126)</f>
        <v>5.8870985090207952</v>
      </c>
      <c r="J127" s="112" t="s">
        <v>124</v>
      </c>
      <c r="K127" s="111">
        <f>SUM(K122,K124,K126)</f>
        <v>93.320421144785598</v>
      </c>
      <c r="L127" s="112" t="s">
        <v>120</v>
      </c>
      <c r="M127" s="113"/>
      <c r="N127" s="382"/>
      <c r="O127" s="99"/>
      <c r="P127" s="100"/>
      <c r="Q127" s="101"/>
      <c r="R127" s="101"/>
    </row>
    <row r="128" spans="1:18">
      <c r="B128" s="381" t="s">
        <v>260</v>
      </c>
      <c r="C128" s="380" t="s">
        <v>231</v>
      </c>
      <c r="D128" s="380" t="s">
        <v>232</v>
      </c>
      <c r="E128" s="380" t="s">
        <v>233</v>
      </c>
      <c r="F128" s="380" t="s">
        <v>273</v>
      </c>
      <c r="G128" s="1451" t="s">
        <v>235</v>
      </c>
      <c r="H128" s="1452"/>
      <c r="I128" s="1451" t="s">
        <v>237</v>
      </c>
      <c r="J128" s="1452"/>
      <c r="K128" s="1454" t="s">
        <v>291</v>
      </c>
      <c r="L128" s="1455"/>
      <c r="M128" s="1451" t="s">
        <v>97</v>
      </c>
      <c r="N128" s="1456"/>
      <c r="O128" s="1456"/>
      <c r="P128" s="1456"/>
      <c r="Q128" s="1456"/>
      <c r="R128" s="1452"/>
    </row>
    <row r="129" spans="1:18" ht="15.75">
      <c r="B129" s="1435"/>
      <c r="C129" s="384" t="s">
        <v>241</v>
      </c>
      <c r="D129" s="385" t="s">
        <v>242</v>
      </c>
      <c r="E129" s="404">
        <f>+③基本情報入力【例】!AD53</f>
        <v>1</v>
      </c>
      <c r="F129" s="78" t="s">
        <v>262</v>
      </c>
      <c r="G129" s="79" t="s">
        <v>11</v>
      </c>
      <c r="H129" s="72" t="s">
        <v>658</v>
      </c>
      <c r="I129" s="80">
        <f>0.03*K129^0.628*E129</f>
        <v>8.0341650938157289E-2</v>
      </c>
      <c r="J129" s="72" t="s">
        <v>124</v>
      </c>
      <c r="K129" s="80">
        <f>IFERROR('計算条件（いしかわモデル）【例】'!G37/E129,0)</f>
        <v>4.8</v>
      </c>
      <c r="L129" s="385" t="s">
        <v>243</v>
      </c>
      <c r="M129" s="1217" t="s">
        <v>263</v>
      </c>
      <c r="N129" s="1218"/>
      <c r="O129" s="1218"/>
      <c r="P129" s="1218"/>
      <c r="Q129" s="1218"/>
      <c r="R129" s="1422"/>
    </row>
    <row r="130" spans="1:18" ht="15.75">
      <c r="B130" s="1435"/>
      <c r="C130" s="384" t="s">
        <v>22</v>
      </c>
      <c r="D130" s="385"/>
      <c r="E130" s="404">
        <f>+③基本情報入力【例】!AD54</f>
        <v>1</v>
      </c>
      <c r="F130" s="78" t="s">
        <v>308</v>
      </c>
      <c r="G130" s="79" t="s">
        <v>11</v>
      </c>
      <c r="H130" s="72" t="s">
        <v>142</v>
      </c>
      <c r="I130" s="80">
        <f>0.039*K130^0.596*E130</f>
        <v>3.3435739404725542</v>
      </c>
      <c r="J130" s="72" t="s">
        <v>124</v>
      </c>
      <c r="K130" s="80">
        <f>IFERROR('計算条件（いしかわモデル）【例】'!G37*365/E130,0)</f>
        <v>1752</v>
      </c>
      <c r="L130" s="385" t="s">
        <v>265</v>
      </c>
      <c r="M130" s="1217" t="s">
        <v>266</v>
      </c>
      <c r="N130" s="1218"/>
      <c r="O130" s="1218"/>
      <c r="P130" s="1218"/>
      <c r="Q130" s="1218"/>
      <c r="R130" s="1422"/>
    </row>
    <row r="131" spans="1:18" ht="16.5" thickBot="1">
      <c r="B131" s="1435"/>
      <c r="C131" s="390" t="s">
        <v>246</v>
      </c>
      <c r="D131" s="88"/>
      <c r="E131" s="116">
        <f>+③基本情報入力【例】!AD53</f>
        <v>1</v>
      </c>
      <c r="F131" s="390" t="s">
        <v>267</v>
      </c>
      <c r="G131" s="87" t="s">
        <v>11</v>
      </c>
      <c r="H131" s="88" t="s">
        <v>141</v>
      </c>
      <c r="I131" s="89">
        <f>0.0024*K131^0.533*E131</f>
        <v>0.12853308102176936</v>
      </c>
      <c r="J131" s="88" t="s">
        <v>124</v>
      </c>
      <c r="K131" s="89">
        <f>IFERROR('計算条件（いしかわモデル）【例】'!G37*365/E131,0)</f>
        <v>1752</v>
      </c>
      <c r="L131" s="389" t="s">
        <v>265</v>
      </c>
      <c r="M131" s="1437" t="s">
        <v>266</v>
      </c>
      <c r="N131" s="1438"/>
      <c r="O131" s="1438"/>
      <c r="P131" s="1438"/>
      <c r="Q131" s="1438"/>
      <c r="R131" s="1439"/>
    </row>
    <row r="132" spans="1:18" ht="14.25" thickTop="1">
      <c r="B132" s="1436"/>
      <c r="C132" s="1448" t="s">
        <v>259</v>
      </c>
      <c r="D132" s="1449"/>
      <c r="E132" s="1449"/>
      <c r="F132" s="1449"/>
      <c r="G132" s="1449"/>
      <c r="H132" s="1450"/>
      <c r="I132" s="109">
        <f>SUM(I129:I131)</f>
        <v>3.5524486724324809</v>
      </c>
      <c r="J132" s="117" t="s">
        <v>124</v>
      </c>
      <c r="K132" s="118"/>
      <c r="L132" s="382"/>
      <c r="M132" s="1523"/>
      <c r="N132" s="1523"/>
      <c r="O132" s="1523"/>
      <c r="P132" s="1523"/>
      <c r="Q132" s="1523"/>
      <c r="R132" s="1523"/>
    </row>
    <row r="134" spans="1:18">
      <c r="A134" s="58"/>
      <c r="B134" s="148" t="str">
        <f>+③基本情報入力【例】!AI51</f>
        <v>⑦</v>
      </c>
      <c r="C134" s="58" t="str">
        <f>+③基本情報入力【例】!AI52</f>
        <v>その他処理場</v>
      </c>
    </row>
    <row r="135" spans="1:18">
      <c r="B135" s="400" t="s">
        <v>230</v>
      </c>
      <c r="C135" s="383" t="s">
        <v>231</v>
      </c>
      <c r="D135" s="383" t="s">
        <v>232</v>
      </c>
      <c r="E135" s="383" t="s">
        <v>233</v>
      </c>
      <c r="F135" s="383" t="s">
        <v>23</v>
      </c>
      <c r="G135" s="1444" t="s">
        <v>235</v>
      </c>
      <c r="H135" s="1445"/>
      <c r="I135" s="1444" t="s">
        <v>236</v>
      </c>
      <c r="J135" s="1445"/>
      <c r="K135" s="1444" t="s">
        <v>237</v>
      </c>
      <c r="L135" s="1445"/>
      <c r="M135" s="1446" t="s">
        <v>291</v>
      </c>
      <c r="N135" s="1447"/>
      <c r="O135" s="77" t="s">
        <v>238</v>
      </c>
      <c r="P135" s="77" t="s">
        <v>239</v>
      </c>
      <c r="Q135" s="77" t="s">
        <v>240</v>
      </c>
      <c r="R135" s="383" t="s">
        <v>97</v>
      </c>
    </row>
    <row r="136" spans="1:18" ht="15.75">
      <c r="B136" s="1417"/>
      <c r="C136" s="1423" t="s">
        <v>241</v>
      </c>
      <c r="D136" s="1347" t="s">
        <v>242</v>
      </c>
      <c r="E136" s="404">
        <f>+③基本情報入力【例】!AI53</f>
        <v>4</v>
      </c>
      <c r="F136" s="78" t="s">
        <v>3</v>
      </c>
      <c r="G136" s="79" t="s">
        <v>11</v>
      </c>
      <c r="H136" s="79" t="s">
        <v>653</v>
      </c>
      <c r="I136" s="80">
        <f>K136*(1-O136)*(P136+P136/((P136+1)^Q136-1))</f>
        <v>9.8717386899353859E-2</v>
      </c>
      <c r="J136" s="72" t="s">
        <v>124</v>
      </c>
      <c r="K136" s="70">
        <f>1.31*M136^0.611*E136</f>
        <v>1.7426652731163839</v>
      </c>
      <c r="L136" s="79" t="s">
        <v>120</v>
      </c>
      <c r="M136" s="80">
        <f>IFERROR('計算条件（いしかわモデル）【例】'!H43/E136,0)</f>
        <v>0.16500000000000001</v>
      </c>
      <c r="N136" s="1347" t="s">
        <v>243</v>
      </c>
      <c r="O136" s="81">
        <f>+③基本情報入力【例】!$Y$61</f>
        <v>0.1</v>
      </c>
      <c r="P136" s="82">
        <f>+③基本情報入力【例】!$AB$61</f>
        <v>2.3E-2</v>
      </c>
      <c r="Q136" s="83">
        <f>+③基本情報入力【例】!$AE$61</f>
        <v>20</v>
      </c>
      <c r="R136" s="72" t="s">
        <v>244</v>
      </c>
    </row>
    <row r="137" spans="1:18" ht="15.75">
      <c r="B137" s="1417"/>
      <c r="C137" s="1453"/>
      <c r="D137" s="1349"/>
      <c r="E137" s="407">
        <v>0</v>
      </c>
      <c r="F137" s="78" t="s">
        <v>8</v>
      </c>
      <c r="G137" s="79" t="s">
        <v>11</v>
      </c>
      <c r="H137" s="79" t="s">
        <v>654</v>
      </c>
      <c r="I137" s="80">
        <f>K137*(1-O137)*(P137+P137/((P137+1)^Q137-1))</f>
        <v>0</v>
      </c>
      <c r="J137" s="72" t="s">
        <v>124</v>
      </c>
      <c r="K137" s="70">
        <f>1.24*M137^0.598*E137</f>
        <v>0</v>
      </c>
      <c r="L137" s="79" t="s">
        <v>120</v>
      </c>
      <c r="M137" s="80">
        <f>+M136</f>
        <v>0.16500000000000001</v>
      </c>
      <c r="N137" s="1349"/>
      <c r="O137" s="81">
        <f>+③基本情報入力【例】!$Y$63</f>
        <v>0.1</v>
      </c>
      <c r="P137" s="84">
        <f>+③基本情報入力【例】!$AB$63</f>
        <v>2.3E-2</v>
      </c>
      <c r="Q137" s="83">
        <f>+③基本情報入力【例】!$AE$63</f>
        <v>40</v>
      </c>
      <c r="R137" s="72" t="s">
        <v>244</v>
      </c>
    </row>
    <row r="138" spans="1:18" ht="15.75">
      <c r="B138" s="1417"/>
      <c r="C138" s="1423" t="s">
        <v>22</v>
      </c>
      <c r="D138" s="1347"/>
      <c r="E138" s="404">
        <f>+③基本情報入力【例】!AI54</f>
        <v>0</v>
      </c>
      <c r="F138" s="78" t="s">
        <v>3</v>
      </c>
      <c r="G138" s="79" t="s">
        <v>11</v>
      </c>
      <c r="H138" s="79" t="s">
        <v>655</v>
      </c>
      <c r="I138" s="80">
        <f>K138*(1-O138)*(P138+P138/((P138+1)^Q138-1))</f>
        <v>0</v>
      </c>
      <c r="J138" s="72" t="s">
        <v>124</v>
      </c>
      <c r="K138" s="70">
        <f>22.7*M138^0.444*E138</f>
        <v>0</v>
      </c>
      <c r="L138" s="79" t="s">
        <v>120</v>
      </c>
      <c r="M138" s="80">
        <f>IFERROR('計算条件（いしかわモデル）【例】'!H43/E138,0)</f>
        <v>0</v>
      </c>
      <c r="N138" s="1347" t="s">
        <v>243</v>
      </c>
      <c r="O138" s="81">
        <f>+③基本情報入力【例】!$Y$61</f>
        <v>0.1</v>
      </c>
      <c r="P138" s="82">
        <f>+③基本情報入力【例】!$AB$61</f>
        <v>2.3E-2</v>
      </c>
      <c r="Q138" s="83">
        <f>+③基本情報入力【例】!$AE$61</f>
        <v>20</v>
      </c>
      <c r="R138" s="72" t="s">
        <v>244</v>
      </c>
    </row>
    <row r="139" spans="1:18" ht="15.75">
      <c r="B139" s="1417"/>
      <c r="C139" s="1453"/>
      <c r="D139" s="1349"/>
      <c r="E139" s="407">
        <v>0</v>
      </c>
      <c r="F139" s="78" t="s">
        <v>8</v>
      </c>
      <c r="G139" s="79" t="s">
        <v>11</v>
      </c>
      <c r="H139" s="79" t="s">
        <v>656</v>
      </c>
      <c r="I139" s="80">
        <f>K139*(1-O139)*(P139+P139/((P139+1)^Q139-1))</f>
        <v>0</v>
      </c>
      <c r="J139" s="72" t="s">
        <v>124</v>
      </c>
      <c r="K139" s="70">
        <f>43.4*M139^0.373*E139</f>
        <v>0</v>
      </c>
      <c r="L139" s="79" t="s">
        <v>120</v>
      </c>
      <c r="M139" s="80">
        <f>+M138</f>
        <v>0</v>
      </c>
      <c r="N139" s="1349"/>
      <c r="O139" s="81">
        <f>+③基本情報入力【例】!$Y$63</f>
        <v>0.1</v>
      </c>
      <c r="P139" s="84">
        <f>+③基本情報入力【例】!$AB$63</f>
        <v>2.3E-2</v>
      </c>
      <c r="Q139" s="83">
        <f>+③基本情報入力【例】!$AE$63</f>
        <v>40</v>
      </c>
      <c r="R139" s="72" t="s">
        <v>244</v>
      </c>
    </row>
    <row r="140" spans="1:18" ht="16.5" thickBot="1">
      <c r="A140" s="58"/>
      <c r="B140" s="1417"/>
      <c r="C140" s="390" t="s">
        <v>246</v>
      </c>
      <c r="D140" s="88"/>
      <c r="E140" s="116">
        <f>+③基本情報入力【例】!AI53</f>
        <v>4</v>
      </c>
      <c r="F140" s="390" t="s">
        <v>4</v>
      </c>
      <c r="G140" s="87" t="s">
        <v>11</v>
      </c>
      <c r="H140" s="88" t="s">
        <v>657</v>
      </c>
      <c r="I140" s="89">
        <f>K140*(1-O140)*(P140+P140/((P140+1)^Q140-1))</f>
        <v>2.210318934216271</v>
      </c>
      <c r="J140" s="88" t="s">
        <v>124</v>
      </c>
      <c r="K140" s="90">
        <f>17.8*M140^0.464*E140</f>
        <v>30.859759969541244</v>
      </c>
      <c r="L140" s="88" t="s">
        <v>120</v>
      </c>
      <c r="M140" s="89">
        <f>IFERROR('計算条件（いしかわモデル）【例】'!H43/E140,0)</f>
        <v>0.16500000000000001</v>
      </c>
      <c r="N140" s="389" t="s">
        <v>243</v>
      </c>
      <c r="O140" s="91">
        <f>+③基本情報入力【例】!$Y$62</f>
        <v>0.1</v>
      </c>
      <c r="P140" s="92">
        <f>+③基本情報入力【例】!$AB$62</f>
        <v>2.3E-2</v>
      </c>
      <c r="Q140" s="93">
        <f>+③基本情報入力【例】!$AE$62</f>
        <v>15</v>
      </c>
      <c r="R140" s="88" t="s">
        <v>247</v>
      </c>
    </row>
    <row r="141" spans="1:18" ht="14.25" thickTop="1">
      <c r="A141" s="58"/>
      <c r="B141" s="1418"/>
      <c r="C141" s="1448" t="s">
        <v>259</v>
      </c>
      <c r="D141" s="1449"/>
      <c r="E141" s="1449"/>
      <c r="F141" s="1449"/>
      <c r="G141" s="1449"/>
      <c r="H141" s="1450"/>
      <c r="I141" s="109">
        <f>SUM(I136:I140)</f>
        <v>2.3090363211156251</v>
      </c>
      <c r="J141" s="112" t="s">
        <v>124</v>
      </c>
      <c r="K141" s="111">
        <f>SUM(K136,K138,K140)</f>
        <v>32.602425242657631</v>
      </c>
      <c r="L141" s="112" t="s">
        <v>120</v>
      </c>
      <c r="M141" s="113"/>
      <c r="N141" s="382"/>
      <c r="O141" s="99"/>
      <c r="P141" s="100"/>
      <c r="Q141" s="101"/>
      <c r="R141" s="101"/>
    </row>
    <row r="142" spans="1:18">
      <c r="A142" s="58"/>
      <c r="B142" s="381" t="s">
        <v>260</v>
      </c>
      <c r="C142" s="380" t="s">
        <v>231</v>
      </c>
      <c r="D142" s="380" t="s">
        <v>232</v>
      </c>
      <c r="E142" s="380" t="s">
        <v>233</v>
      </c>
      <c r="F142" s="380" t="s">
        <v>273</v>
      </c>
      <c r="G142" s="1451" t="s">
        <v>235</v>
      </c>
      <c r="H142" s="1452"/>
      <c r="I142" s="1451" t="s">
        <v>237</v>
      </c>
      <c r="J142" s="1452"/>
      <c r="K142" s="1454" t="s">
        <v>291</v>
      </c>
      <c r="L142" s="1455"/>
      <c r="M142" s="1451" t="s">
        <v>97</v>
      </c>
      <c r="N142" s="1456"/>
      <c r="O142" s="1456"/>
      <c r="P142" s="1456"/>
      <c r="Q142" s="1456"/>
      <c r="R142" s="1452"/>
    </row>
    <row r="143" spans="1:18" ht="15.75">
      <c r="A143" s="58"/>
      <c r="B143" s="1435"/>
      <c r="C143" s="384" t="s">
        <v>241</v>
      </c>
      <c r="D143" s="385" t="s">
        <v>242</v>
      </c>
      <c r="E143" s="404">
        <f>+③基本情報入力【例】!AI53</f>
        <v>4</v>
      </c>
      <c r="F143" s="78" t="s">
        <v>262</v>
      </c>
      <c r="G143" s="79" t="s">
        <v>11</v>
      </c>
      <c r="H143" s="72" t="s">
        <v>658</v>
      </c>
      <c r="I143" s="80">
        <f>0.03*K143^0.628*E143</f>
        <v>3.4517182637762878E-2</v>
      </c>
      <c r="J143" s="72" t="s">
        <v>124</v>
      </c>
      <c r="K143" s="80">
        <f>IFERROR('計算条件（いしかわモデル）【例】'!G43/E143,0)</f>
        <v>0.13750000000000001</v>
      </c>
      <c r="L143" s="385" t="s">
        <v>243</v>
      </c>
      <c r="M143" s="1217" t="s">
        <v>263</v>
      </c>
      <c r="N143" s="1218"/>
      <c r="O143" s="1218"/>
      <c r="P143" s="1218"/>
      <c r="Q143" s="1218"/>
      <c r="R143" s="1422"/>
    </row>
    <row r="144" spans="1:18" ht="15.75">
      <c r="A144" s="58"/>
      <c r="B144" s="1435"/>
      <c r="C144" s="384" t="s">
        <v>22</v>
      </c>
      <c r="D144" s="385"/>
      <c r="E144" s="404">
        <f>+③基本情報入力【例】!AI54</f>
        <v>0</v>
      </c>
      <c r="F144" s="78" t="s">
        <v>308</v>
      </c>
      <c r="G144" s="79" t="s">
        <v>11</v>
      </c>
      <c r="H144" s="72" t="s">
        <v>142</v>
      </c>
      <c r="I144" s="80">
        <f>0.039*K144^0.596*E144</f>
        <v>0</v>
      </c>
      <c r="J144" s="72" t="s">
        <v>124</v>
      </c>
      <c r="K144" s="80">
        <f>IFERROR('計算条件（いしかわモデル）【例】'!G43*365/E144,0)</f>
        <v>0</v>
      </c>
      <c r="L144" s="385" t="s">
        <v>265</v>
      </c>
      <c r="M144" s="1217" t="s">
        <v>266</v>
      </c>
      <c r="N144" s="1218"/>
      <c r="O144" s="1218"/>
      <c r="P144" s="1218"/>
      <c r="Q144" s="1218"/>
      <c r="R144" s="1422"/>
    </row>
    <row r="145" spans="1:18" ht="16.5" thickBot="1">
      <c r="A145" s="58"/>
      <c r="B145" s="1435"/>
      <c r="C145" s="390" t="s">
        <v>246</v>
      </c>
      <c r="D145" s="88"/>
      <c r="E145" s="116">
        <f>+E143</f>
        <v>4</v>
      </c>
      <c r="F145" s="390" t="s">
        <v>267</v>
      </c>
      <c r="G145" s="87" t="s">
        <v>11</v>
      </c>
      <c r="H145" s="88" t="s">
        <v>141</v>
      </c>
      <c r="I145" s="89">
        <f>0.0024*K145^0.533*E145</f>
        <v>7.7390680939902229E-2</v>
      </c>
      <c r="J145" s="88" t="s">
        <v>124</v>
      </c>
      <c r="K145" s="89">
        <f>IFERROR('計算条件（いしかわモデル）【例】'!G43*365/E145,0)</f>
        <v>50.187500000000007</v>
      </c>
      <c r="L145" s="389" t="s">
        <v>265</v>
      </c>
      <c r="M145" s="1437" t="s">
        <v>266</v>
      </c>
      <c r="N145" s="1438"/>
      <c r="O145" s="1438"/>
      <c r="P145" s="1438"/>
      <c r="Q145" s="1438"/>
      <c r="R145" s="1439"/>
    </row>
    <row r="146" spans="1:18" ht="14.25" thickTop="1">
      <c r="A146" s="58"/>
      <c r="B146" s="1436"/>
      <c r="C146" s="1448" t="s">
        <v>259</v>
      </c>
      <c r="D146" s="1449"/>
      <c r="E146" s="1449"/>
      <c r="F146" s="1449"/>
      <c r="G146" s="1449"/>
      <c r="H146" s="1450"/>
      <c r="I146" s="109">
        <f>SUM(I143:I145)</f>
        <v>0.11190786357766511</v>
      </c>
      <c r="J146" s="117" t="s">
        <v>124</v>
      </c>
      <c r="K146" s="118"/>
      <c r="L146" s="382"/>
      <c r="M146" s="1523"/>
      <c r="N146" s="1523"/>
      <c r="O146" s="1523"/>
      <c r="P146" s="1523"/>
      <c r="Q146" s="1523"/>
      <c r="R146" s="1523"/>
    </row>
    <row r="149" spans="1:18">
      <c r="A149" s="58"/>
      <c r="B149" s="58" t="s">
        <v>307</v>
      </c>
    </row>
    <row r="150" spans="1:18">
      <c r="A150" s="58"/>
      <c r="B150" s="400" t="s">
        <v>230</v>
      </c>
      <c r="C150" s="383" t="s">
        <v>231</v>
      </c>
      <c r="D150" s="383" t="s">
        <v>232</v>
      </c>
      <c r="E150" s="397" t="s">
        <v>233</v>
      </c>
      <c r="F150" s="383" t="s">
        <v>23</v>
      </c>
      <c r="G150" s="1444" t="s">
        <v>235</v>
      </c>
      <c r="H150" s="1445"/>
      <c r="I150" s="1415" t="s">
        <v>236</v>
      </c>
      <c r="J150" s="1415"/>
      <c r="K150" s="1415" t="s">
        <v>237</v>
      </c>
      <c r="L150" s="1415"/>
      <c r="M150" s="1416" t="s">
        <v>291</v>
      </c>
      <c r="N150" s="1416"/>
      <c r="O150" s="77" t="s">
        <v>238</v>
      </c>
      <c r="P150" s="77" t="s">
        <v>239</v>
      </c>
      <c r="Q150" s="77" t="s">
        <v>240</v>
      </c>
      <c r="R150" s="383" t="s">
        <v>97</v>
      </c>
    </row>
    <row r="151" spans="1:18" ht="16.5" thickBot="1">
      <c r="A151" s="58"/>
      <c r="B151" s="1417"/>
      <c r="C151" s="390" t="s">
        <v>96</v>
      </c>
      <c r="D151" s="88"/>
      <c r="E151" s="116">
        <v>1</v>
      </c>
      <c r="F151" s="390" t="s">
        <v>306</v>
      </c>
      <c r="G151" s="87" t="s">
        <v>11</v>
      </c>
      <c r="H151" s="127" t="s">
        <v>659</v>
      </c>
      <c r="I151" s="89">
        <f>K151*(1-O151)*(P151+P151/((P151+1)^Q151-1))</f>
        <v>38.801893457729143</v>
      </c>
      <c r="J151" s="88" t="s">
        <v>124</v>
      </c>
      <c r="K151" s="90">
        <f>IF(M151=0,0,(-0.087*M151^2+59.53*M151+258)*E151)</f>
        <v>541.73951999999997</v>
      </c>
      <c r="L151" s="88" t="s">
        <v>120</v>
      </c>
      <c r="M151" s="89">
        <f>IFERROR('計算条件（いしかわモデル）【例】'!H61/E151,0)</f>
        <v>4.8</v>
      </c>
      <c r="N151" s="389" t="s">
        <v>0</v>
      </c>
      <c r="O151" s="91">
        <f>+③基本情報入力【例】!$Y$62</f>
        <v>0.1</v>
      </c>
      <c r="P151" s="92">
        <f>+③基本情報入力【例】!$AB$62</f>
        <v>2.3E-2</v>
      </c>
      <c r="Q151" s="93">
        <f>+③基本情報入力【例】!$AE$62</f>
        <v>15</v>
      </c>
      <c r="R151" s="88" t="s">
        <v>304</v>
      </c>
    </row>
    <row r="152" spans="1:18" ht="14.25" thickTop="1">
      <c r="A152" s="58"/>
      <c r="B152" s="1418"/>
      <c r="C152" s="1448" t="s">
        <v>259</v>
      </c>
      <c r="D152" s="1449"/>
      <c r="E152" s="1449"/>
      <c r="F152" s="1449"/>
      <c r="G152" s="1449"/>
      <c r="H152" s="1450"/>
      <c r="I152" s="138">
        <f>SUM(I151:I151)</f>
        <v>38.801893457729143</v>
      </c>
      <c r="J152" s="112" t="s">
        <v>124</v>
      </c>
      <c r="K152" s="111">
        <f>+K151</f>
        <v>541.73951999999997</v>
      </c>
      <c r="L152" s="112" t="s">
        <v>120</v>
      </c>
    </row>
    <row r="154" spans="1:18">
      <c r="A154" s="58"/>
      <c r="B154" s="58" t="s">
        <v>340</v>
      </c>
    </row>
    <row r="155" spans="1:18">
      <c r="A155" s="58"/>
      <c r="B155" s="400" t="s">
        <v>230</v>
      </c>
      <c r="C155" s="383" t="s">
        <v>231</v>
      </c>
      <c r="D155" s="383" t="s">
        <v>232</v>
      </c>
      <c r="E155" s="397" t="s">
        <v>233</v>
      </c>
      <c r="F155" s="383" t="s">
        <v>23</v>
      </c>
      <c r="G155" s="397" t="s">
        <v>235</v>
      </c>
      <c r="H155" s="383" t="s">
        <v>211</v>
      </c>
      <c r="I155" s="1415" t="s">
        <v>236</v>
      </c>
      <c r="J155" s="1415"/>
      <c r="K155" s="1415" t="s">
        <v>237</v>
      </c>
      <c r="L155" s="1415"/>
      <c r="M155" s="1416" t="s">
        <v>291</v>
      </c>
      <c r="N155" s="1416"/>
      <c r="O155" s="77" t="s">
        <v>238</v>
      </c>
      <c r="P155" s="77" t="s">
        <v>239</v>
      </c>
      <c r="Q155" s="77" t="s">
        <v>240</v>
      </c>
      <c r="R155" s="383" t="s">
        <v>97</v>
      </c>
    </row>
    <row r="156" spans="1:18">
      <c r="A156" s="58"/>
      <c r="B156" s="1417"/>
      <c r="C156" s="1459" t="s">
        <v>41</v>
      </c>
      <c r="D156" s="1221"/>
      <c r="E156" s="404">
        <v>0</v>
      </c>
      <c r="F156" s="78" t="s">
        <v>415</v>
      </c>
      <c r="G156" s="1462" t="s">
        <v>271</v>
      </c>
      <c r="H156" s="1464">
        <f>IF(M156&lt;40,44000,IF(AND(M156&gt;=40,M156&lt;=99),33000,IF(M156&gt;=100,28000)))</f>
        <v>44000</v>
      </c>
      <c r="I156" s="80">
        <f>K156*(1-O156)*(P156+P156/((P156+1)^Q156-1))</f>
        <v>0</v>
      </c>
      <c r="J156" s="72" t="s">
        <v>124</v>
      </c>
      <c r="K156" s="70">
        <f>H156*M156/1000*0.75*E156</f>
        <v>0</v>
      </c>
      <c r="L156" s="72" t="s">
        <v>120</v>
      </c>
      <c r="M156" s="80">
        <f>IFERROR(('計算条件（いしかわモデル）【例】'!G46+'計算条件（いしかわモデル）【例】'!G51+'計算条件（いしかわモデル）【例】'!G56)/E156,0)</f>
        <v>0</v>
      </c>
      <c r="N156" s="385" t="s">
        <v>0</v>
      </c>
      <c r="O156" s="81">
        <v>0.1</v>
      </c>
      <c r="P156" s="82">
        <v>2.3E-2</v>
      </c>
      <c r="Q156" s="83">
        <v>20</v>
      </c>
      <c r="R156" s="72" t="s">
        <v>436</v>
      </c>
    </row>
    <row r="157" spans="1:18" ht="14.25" thickBot="1">
      <c r="A157" s="58"/>
      <c r="B157" s="1417"/>
      <c r="C157" s="1460"/>
      <c r="D157" s="1461"/>
      <c r="E157" s="218">
        <v>0</v>
      </c>
      <c r="F157" s="217" t="s">
        <v>8</v>
      </c>
      <c r="G157" s="1463"/>
      <c r="H157" s="1465"/>
      <c r="I157" s="89">
        <f>K157*(1-O157)*(P157+P157/((P157+1)^Q157-1))</f>
        <v>0</v>
      </c>
      <c r="J157" s="88" t="s">
        <v>124</v>
      </c>
      <c r="K157" s="216">
        <f>H156*M157/1000*0.25*E157</f>
        <v>0</v>
      </c>
      <c r="L157" s="88" t="s">
        <v>120</v>
      </c>
      <c r="M157" s="89">
        <f>+M156</f>
        <v>0</v>
      </c>
      <c r="N157" s="389" t="s">
        <v>0</v>
      </c>
      <c r="O157" s="91">
        <v>0.1</v>
      </c>
      <c r="P157" s="92">
        <v>2.3E-2</v>
      </c>
      <c r="Q157" s="93">
        <v>40</v>
      </c>
      <c r="R157" s="88" t="s">
        <v>436</v>
      </c>
    </row>
    <row r="158" spans="1:18" ht="14.25" thickTop="1">
      <c r="A158" s="58"/>
      <c r="B158" s="1418"/>
      <c r="C158" s="1427" t="s">
        <v>259</v>
      </c>
      <c r="D158" s="1428"/>
      <c r="E158" s="1428"/>
      <c r="F158" s="1428"/>
      <c r="G158" s="1428"/>
      <c r="H158" s="1429"/>
      <c r="I158" s="109">
        <f>SUM(I156:I156)</f>
        <v>0</v>
      </c>
      <c r="J158" s="112" t="s">
        <v>124</v>
      </c>
      <c r="K158" s="111">
        <f>+K156</f>
        <v>0</v>
      </c>
      <c r="L158" s="112" t="s">
        <v>120</v>
      </c>
    </row>
    <row r="159" spans="1:18">
      <c r="A159" s="58"/>
      <c r="B159" s="396" t="s">
        <v>260</v>
      </c>
      <c r="C159" s="395" t="s">
        <v>231</v>
      </c>
      <c r="D159" s="396" t="s">
        <v>232</v>
      </c>
      <c r="E159" s="394" t="s">
        <v>233</v>
      </c>
      <c r="F159" s="396" t="s">
        <v>273</v>
      </c>
      <c r="G159" s="1469" t="s">
        <v>235</v>
      </c>
      <c r="H159" s="1470"/>
      <c r="I159" s="1471" t="s">
        <v>237</v>
      </c>
      <c r="J159" s="1471"/>
      <c r="K159" s="1472" t="s">
        <v>291</v>
      </c>
      <c r="L159" s="1472"/>
      <c r="M159" s="1432" t="s">
        <v>97</v>
      </c>
      <c r="N159" s="1432"/>
      <c r="O159" s="1432"/>
      <c r="P159" s="1432"/>
      <c r="Q159" s="1432"/>
      <c r="R159" s="1432"/>
    </row>
    <row r="160" spans="1:18" ht="14.25" thickBot="1">
      <c r="A160" s="58"/>
      <c r="B160" s="1435"/>
      <c r="C160" s="390" t="s">
        <v>41</v>
      </c>
      <c r="D160" s="389"/>
      <c r="E160" s="116">
        <v>0</v>
      </c>
      <c r="F160" s="214" t="s">
        <v>437</v>
      </c>
      <c r="G160" s="219" t="s">
        <v>271</v>
      </c>
      <c r="H160" s="215">
        <v>7800</v>
      </c>
      <c r="I160" s="89">
        <f>H160*K160/1000000*E160</f>
        <v>0</v>
      </c>
      <c r="J160" s="88" t="s">
        <v>124</v>
      </c>
      <c r="K160" s="89">
        <f>IFERROR(('計算条件（いしかわモデル）【例】'!G46+'計算条件（いしかわモデル）【例】'!G51+'計算条件（いしかわモデル）【例】'!G56)*365/E156,0)</f>
        <v>0</v>
      </c>
      <c r="L160" s="389" t="s">
        <v>122</v>
      </c>
      <c r="M160" s="1437" t="s">
        <v>438</v>
      </c>
      <c r="N160" s="1438"/>
      <c r="O160" s="1438"/>
      <c r="P160" s="1438"/>
      <c r="Q160" s="1438"/>
      <c r="R160" s="1439"/>
    </row>
    <row r="161" spans="1:18" ht="14.25" thickTop="1">
      <c r="A161" s="58"/>
      <c r="B161" s="1436"/>
      <c r="C161" s="1427" t="s">
        <v>259</v>
      </c>
      <c r="D161" s="1428"/>
      <c r="E161" s="1428"/>
      <c r="F161" s="1428"/>
      <c r="G161" s="1428"/>
      <c r="H161" s="1429"/>
      <c r="I161" s="109">
        <f>SUM(I160:I160)</f>
        <v>0</v>
      </c>
      <c r="J161" s="112" t="s">
        <v>124</v>
      </c>
    </row>
    <row r="162" spans="1:18">
      <c r="A162" s="58"/>
    </row>
    <row r="163" spans="1:18">
      <c r="A163" s="58"/>
      <c r="B163" s="58" t="s">
        <v>274</v>
      </c>
    </row>
    <row r="164" spans="1:18">
      <c r="A164" s="58"/>
      <c r="B164" s="128" t="s">
        <v>130</v>
      </c>
      <c r="C164" s="388" t="s">
        <v>275</v>
      </c>
      <c r="D164" s="1466" t="s">
        <v>303</v>
      </c>
      <c r="E164" s="1466"/>
      <c r="F164" s="388" t="s">
        <v>23</v>
      </c>
      <c r="G164" s="1466" t="s">
        <v>276</v>
      </c>
      <c r="H164" s="1466"/>
      <c r="I164" s="1467" t="s">
        <v>277</v>
      </c>
      <c r="J164" s="1467"/>
      <c r="K164" s="1468" t="s">
        <v>291</v>
      </c>
      <c r="L164" s="1468"/>
      <c r="M164" s="1467" t="s">
        <v>278</v>
      </c>
      <c r="N164" s="1467"/>
      <c r="O164" s="1466" t="s">
        <v>97</v>
      </c>
      <c r="P164" s="1466"/>
      <c r="Q164" s="1466"/>
      <c r="R164" s="1466"/>
    </row>
    <row r="165" spans="1:18">
      <c r="A165" s="58"/>
      <c r="B165" s="1477"/>
      <c r="C165" s="149" t="str">
        <f>+③基本情報入力【例】!L12</f>
        <v>A市浄化センター</v>
      </c>
      <c r="D165" s="1479" t="str">
        <f>+③基本情報入力【例】!Q13</f>
        <v>脱水汚泥</v>
      </c>
      <c r="E165" s="1480"/>
      <c r="F165" s="72" t="s">
        <v>207</v>
      </c>
      <c r="G165" s="1222" t="s">
        <v>271</v>
      </c>
      <c r="H165" s="1224"/>
      <c r="I165" s="129">
        <f>IFERROR(ROUND(M165*K165/10^6,1),"")</f>
        <v>0</v>
      </c>
      <c r="J165" s="72" t="s">
        <v>124</v>
      </c>
      <c r="K165" s="103">
        <f>+③基本情報入力【例】!Q21</f>
        <v>0</v>
      </c>
      <c r="L165" s="72" t="s">
        <v>125</v>
      </c>
      <c r="M165" s="69">
        <v>0</v>
      </c>
      <c r="N165" s="384" t="s">
        <v>126</v>
      </c>
      <c r="O165" s="1474" t="s">
        <v>341</v>
      </c>
      <c r="P165" s="1475"/>
      <c r="Q165" s="1475"/>
      <c r="R165" s="1476"/>
    </row>
    <row r="166" spans="1:18">
      <c r="A166" s="58"/>
      <c r="B166" s="1477"/>
      <c r="C166" s="149" t="str">
        <f>+③基本情報入力【例】!V12</f>
        <v>B町中央浄化センター</v>
      </c>
      <c r="D166" s="1479" t="str">
        <f>+③基本情報入力【例】!V13</f>
        <v>脱水汚泥</v>
      </c>
      <c r="E166" s="1480"/>
      <c r="F166" s="72" t="s">
        <v>207</v>
      </c>
      <c r="G166" s="1222" t="s">
        <v>271</v>
      </c>
      <c r="H166" s="1224"/>
      <c r="I166" s="129">
        <f t="shared" ref="I166:I181" si="2">IFERROR(ROUND(M166*K166/10^6,1),"")</f>
        <v>1.6</v>
      </c>
      <c r="J166" s="72" t="s">
        <v>124</v>
      </c>
      <c r="K166" s="103">
        <f>+③基本情報入力【例】!V21</f>
        <v>365</v>
      </c>
      <c r="L166" s="72" t="s">
        <v>125</v>
      </c>
      <c r="M166" s="69">
        <f>IFERROR(③基本情報入力【例】!V22*1000,"")</f>
        <v>4400</v>
      </c>
      <c r="N166" s="384" t="s">
        <v>126</v>
      </c>
      <c r="O166" s="1474"/>
      <c r="P166" s="1475"/>
      <c r="Q166" s="1475"/>
      <c r="R166" s="1476"/>
    </row>
    <row r="167" spans="1:18">
      <c r="A167" s="58"/>
      <c r="B167" s="1477"/>
      <c r="C167" s="149" t="str">
        <f>+③基本情報入力【例】!AA12</f>
        <v>B町浄化センター</v>
      </c>
      <c r="D167" s="1479" t="str">
        <f>+③基本情報入力【例】!AA13</f>
        <v>脱水汚泥</v>
      </c>
      <c r="E167" s="1480"/>
      <c r="F167" s="72" t="s">
        <v>207</v>
      </c>
      <c r="G167" s="1222" t="s">
        <v>271</v>
      </c>
      <c r="H167" s="1224"/>
      <c r="I167" s="129">
        <f t="shared" si="2"/>
        <v>1.1000000000000001</v>
      </c>
      <c r="J167" s="72" t="s">
        <v>124</v>
      </c>
      <c r="K167" s="103">
        <f>+③基本情報入力【例】!AA21</f>
        <v>255.5</v>
      </c>
      <c r="L167" s="72" t="s">
        <v>125</v>
      </c>
      <c r="M167" s="69">
        <f>IFERROR(③基本情報入力【例】!AA22*1000,"")</f>
        <v>4400</v>
      </c>
      <c r="N167" s="384" t="s">
        <v>126</v>
      </c>
      <c r="O167" s="1474"/>
      <c r="P167" s="1475"/>
      <c r="Q167" s="1475"/>
      <c r="R167" s="1476"/>
    </row>
    <row r="168" spans="1:18">
      <c r="A168" s="58"/>
      <c r="B168" s="1477"/>
      <c r="C168" s="149" t="str">
        <f>+③基本情報入力【例】!AF12</f>
        <v>C町西浄化センター</v>
      </c>
      <c r="D168" s="1479" t="str">
        <f>+③基本情報入力【例】!AF13</f>
        <v>脱水汚泥</v>
      </c>
      <c r="E168" s="1480"/>
      <c r="F168" s="72" t="s">
        <v>207</v>
      </c>
      <c r="G168" s="1222" t="s">
        <v>271</v>
      </c>
      <c r="H168" s="1224"/>
      <c r="I168" s="129">
        <f t="shared" si="2"/>
        <v>0.8</v>
      </c>
      <c r="J168" s="72" t="s">
        <v>124</v>
      </c>
      <c r="K168" s="103">
        <f>+③基本情報入力【例】!AF21</f>
        <v>182.5</v>
      </c>
      <c r="L168" s="72" t="s">
        <v>125</v>
      </c>
      <c r="M168" s="69">
        <f>IFERROR(③基本情報入力【例】!AF22*1000,"")</f>
        <v>4400</v>
      </c>
      <c r="N168" s="384" t="s">
        <v>126</v>
      </c>
      <c r="O168" s="1474"/>
      <c r="P168" s="1475"/>
      <c r="Q168" s="1475"/>
      <c r="R168" s="1476"/>
    </row>
    <row r="169" spans="1:18">
      <c r="A169" s="58"/>
      <c r="B169" s="1477"/>
      <c r="C169" s="149" t="str">
        <f>+③基本情報入力【例】!AK12</f>
        <v>C町東浄化センター</v>
      </c>
      <c r="D169" s="1479" t="str">
        <f>+③基本情報入力【例】!AK13</f>
        <v>濃縮汚泥</v>
      </c>
      <c r="E169" s="1480"/>
      <c r="F169" s="72" t="s">
        <v>207</v>
      </c>
      <c r="G169" s="1222" t="s">
        <v>271</v>
      </c>
      <c r="H169" s="1224"/>
      <c r="I169" s="129">
        <f t="shared" si="2"/>
        <v>0.2</v>
      </c>
      <c r="J169" s="72" t="s">
        <v>124</v>
      </c>
      <c r="K169" s="103">
        <f>+③基本情報入力【例】!AK21</f>
        <v>36.5</v>
      </c>
      <c r="L169" s="72" t="s">
        <v>125</v>
      </c>
      <c r="M169" s="69">
        <f>IFERROR(③基本情報入力【例】!AK22*1000,"")</f>
        <v>4400</v>
      </c>
      <c r="N169" s="384" t="s">
        <v>126</v>
      </c>
      <c r="O169" s="1474"/>
      <c r="P169" s="1475"/>
      <c r="Q169" s="1475"/>
      <c r="R169" s="1476"/>
    </row>
    <row r="170" spans="1:18">
      <c r="A170" s="58"/>
      <c r="B170" s="1477"/>
      <c r="C170" s="149" t="str">
        <f>+③基本情報入力【例】!AP12</f>
        <v>C町中部浄化センター</v>
      </c>
      <c r="D170" s="1479" t="str">
        <f>+③基本情報入力【例】!AP13</f>
        <v>脱水汚泥</v>
      </c>
      <c r="E170" s="1480"/>
      <c r="F170" s="72" t="s">
        <v>207</v>
      </c>
      <c r="G170" s="1222" t="s">
        <v>271</v>
      </c>
      <c r="H170" s="1224"/>
      <c r="I170" s="129">
        <f t="shared" si="2"/>
        <v>0.5</v>
      </c>
      <c r="J170" s="72" t="s">
        <v>124</v>
      </c>
      <c r="K170" s="103">
        <f>+③基本情報入力【例】!AP21</f>
        <v>109.5</v>
      </c>
      <c r="L170" s="72" t="s">
        <v>125</v>
      </c>
      <c r="M170" s="69">
        <f>IFERROR(③基本情報入力【例】!AP22*1000,"")</f>
        <v>4400</v>
      </c>
      <c r="N170" s="384" t="s">
        <v>126</v>
      </c>
      <c r="O170" s="1474"/>
      <c r="P170" s="1475"/>
      <c r="Q170" s="1475"/>
      <c r="R170" s="1476"/>
    </row>
    <row r="171" spans="1:18">
      <c r="A171" s="58"/>
      <c r="B171" s="1477"/>
      <c r="C171" s="149" t="str">
        <f>+③基本情報入力【例】!AU12</f>
        <v>その他処理場</v>
      </c>
      <c r="D171" s="1479" t="str">
        <f>+③基本情報入力【例】!AU13</f>
        <v>濃縮汚泥</v>
      </c>
      <c r="E171" s="1480"/>
      <c r="F171" s="72" t="s">
        <v>207</v>
      </c>
      <c r="G171" s="1222" t="s">
        <v>271</v>
      </c>
      <c r="H171" s="1224"/>
      <c r="I171" s="129">
        <f t="shared" si="2"/>
        <v>1.3</v>
      </c>
      <c r="J171" s="72" t="s">
        <v>124</v>
      </c>
      <c r="K171" s="103">
        <f>+③基本情報入力【例】!AU21</f>
        <v>182.5</v>
      </c>
      <c r="L171" s="72" t="s">
        <v>125</v>
      </c>
      <c r="M171" s="69">
        <f>+IFERROR(③基本情報入力【例】!AU22*1000,"")</f>
        <v>6900</v>
      </c>
      <c r="N171" s="384" t="s">
        <v>126</v>
      </c>
      <c r="O171" s="1474"/>
      <c r="P171" s="1475"/>
      <c r="Q171" s="1475"/>
      <c r="R171" s="1476"/>
    </row>
    <row r="172" spans="1:18">
      <c r="A172" s="58"/>
      <c r="B172" s="1477"/>
      <c r="C172" s="149" t="str">
        <f>+③基本情報入力【例】!L29</f>
        <v>A市・B町・C町</v>
      </c>
      <c r="D172" s="1479" t="str">
        <f>+③基本情報入力【例】!L30</f>
        <v>し尿</v>
      </c>
      <c r="E172" s="1480"/>
      <c r="F172" s="72" t="s">
        <v>207</v>
      </c>
      <c r="G172" s="1222" t="s">
        <v>271</v>
      </c>
      <c r="H172" s="1224"/>
      <c r="I172" s="129">
        <f t="shared" si="2"/>
        <v>12.6</v>
      </c>
      <c r="J172" s="72" t="s">
        <v>124</v>
      </c>
      <c r="K172" s="103">
        <f>+③基本情報入力【例】!L38</f>
        <v>1095</v>
      </c>
      <c r="L172" s="72" t="s">
        <v>122</v>
      </c>
      <c r="M172" s="69">
        <f>+IFERROR(③基本情報入力【例】!L39*1000,"")</f>
        <v>11500</v>
      </c>
      <c r="N172" s="384" t="s">
        <v>126</v>
      </c>
      <c r="O172" s="1474"/>
      <c r="P172" s="1475"/>
      <c r="Q172" s="1475"/>
      <c r="R172" s="1476"/>
    </row>
    <row r="173" spans="1:18">
      <c r="A173" s="58"/>
      <c r="B173" s="1477"/>
      <c r="C173" s="150" t="str">
        <f>+③基本情報入力【例】!Q29</f>
        <v>A市・B町・C町</v>
      </c>
      <c r="D173" s="1473" t="str">
        <f>+③基本情報入力【例】!Q30</f>
        <v>浄化槽汚泥</v>
      </c>
      <c r="E173" s="1473"/>
      <c r="F173" s="72" t="s">
        <v>207</v>
      </c>
      <c r="G173" s="1221" t="s">
        <v>271</v>
      </c>
      <c r="H173" s="1221"/>
      <c r="I173" s="129">
        <f t="shared" si="2"/>
        <v>63</v>
      </c>
      <c r="J173" s="72" t="s">
        <v>124</v>
      </c>
      <c r="K173" s="103">
        <f>+③基本情報入力【例】!Q38</f>
        <v>5475</v>
      </c>
      <c r="L173" s="72" t="s">
        <v>122</v>
      </c>
      <c r="M173" s="69">
        <f>+IFERROR(③基本情報入力【例】!L39*1000,"")</f>
        <v>11500</v>
      </c>
      <c r="N173" s="384" t="s">
        <v>126</v>
      </c>
      <c r="O173" s="1474"/>
      <c r="P173" s="1475"/>
      <c r="Q173" s="1475"/>
      <c r="R173" s="1476"/>
    </row>
    <row r="174" spans="1:18">
      <c r="A174" s="58"/>
      <c r="B174" s="1477"/>
      <c r="C174" s="150" t="str">
        <f>+③基本情報入力【例】!V29</f>
        <v>A市・B町・C町</v>
      </c>
      <c r="D174" s="1473" t="str">
        <f>+③基本情報入力【例】!V30</f>
        <v>集落排水汚泥</v>
      </c>
      <c r="E174" s="1473"/>
      <c r="F174" s="72" t="s">
        <v>207</v>
      </c>
      <c r="G174" s="1221" t="s">
        <v>271</v>
      </c>
      <c r="H174" s="1221"/>
      <c r="I174" s="129">
        <f t="shared" si="2"/>
        <v>13.7</v>
      </c>
      <c r="J174" s="72" t="s">
        <v>124</v>
      </c>
      <c r="K174" s="103">
        <f>+③基本情報入力【例】!V38</f>
        <v>1825</v>
      </c>
      <c r="L174" s="72" t="s">
        <v>125</v>
      </c>
      <c r="M174" s="69">
        <f>+IFERROR(③基本情報入力【例】!V39*1000,"")</f>
        <v>7500</v>
      </c>
      <c r="N174" s="384" t="s">
        <v>126</v>
      </c>
      <c r="O174" s="1474"/>
      <c r="P174" s="1475"/>
      <c r="Q174" s="1475"/>
      <c r="R174" s="1476"/>
    </row>
    <row r="175" spans="1:18">
      <c r="A175" s="58"/>
      <c r="B175" s="1477"/>
      <c r="C175" s="150" t="str">
        <f>+③基本情報入力【例】!AA29</f>
        <v>A市・B町・C町</v>
      </c>
      <c r="D175" s="1473" t="str">
        <f>+③基本情報入力【例】!AA30</f>
        <v>生ごみ</v>
      </c>
      <c r="E175" s="1473"/>
      <c r="F175" s="72" t="s">
        <v>207</v>
      </c>
      <c r="G175" s="1221" t="s">
        <v>271</v>
      </c>
      <c r="H175" s="1221"/>
      <c r="I175" s="129">
        <f t="shared" si="2"/>
        <v>16.2</v>
      </c>
      <c r="J175" s="72" t="s">
        <v>124</v>
      </c>
      <c r="K175" s="103">
        <f>+③基本情報入力【例】!AA38</f>
        <v>1460</v>
      </c>
      <c r="L175" s="72" t="s">
        <v>125</v>
      </c>
      <c r="M175" s="69">
        <f>+IFERROR(③基本情報入力【例】!AA39*1000,"")</f>
        <v>11100</v>
      </c>
      <c r="N175" s="384" t="s">
        <v>126</v>
      </c>
      <c r="O175" s="1474"/>
      <c r="P175" s="1475"/>
      <c r="Q175" s="1475"/>
      <c r="R175" s="1476"/>
    </row>
    <row r="176" spans="1:18">
      <c r="A176" s="58"/>
      <c r="B176" s="1477"/>
      <c r="C176" s="150">
        <f>+③基本情報入力【例】!AF29</f>
        <v>0</v>
      </c>
      <c r="D176" s="1473">
        <f>+③基本情報入力【例】!AF30</f>
        <v>0</v>
      </c>
      <c r="E176" s="1473"/>
      <c r="F176" s="72" t="s">
        <v>207</v>
      </c>
      <c r="G176" s="1221" t="s">
        <v>271</v>
      </c>
      <c r="H176" s="1221"/>
      <c r="I176" s="129">
        <f t="shared" si="2"/>
        <v>0</v>
      </c>
      <c r="J176" s="72" t="s">
        <v>124</v>
      </c>
      <c r="K176" s="103">
        <f>+③基本情報入力【例】!AF38</f>
        <v>0</v>
      </c>
      <c r="L176" s="72" t="s">
        <v>125</v>
      </c>
      <c r="M176" s="69">
        <f>+IFERROR(③基本情報入力【例】!AF39*1000,"")</f>
        <v>0</v>
      </c>
      <c r="N176" s="384" t="s">
        <v>126</v>
      </c>
      <c r="O176" s="1524"/>
      <c r="P176" s="1525"/>
      <c r="Q176" s="1525"/>
      <c r="R176" s="1526"/>
    </row>
    <row r="177" spans="1:18">
      <c r="A177" s="58"/>
      <c r="B177" s="1477"/>
      <c r="C177" s="150">
        <f>+③基本情報入力【例】!AK29</f>
        <v>0</v>
      </c>
      <c r="D177" s="1473">
        <f>+③基本情報入力【例】!AK30</f>
        <v>0</v>
      </c>
      <c r="E177" s="1473"/>
      <c r="F177" s="72" t="s">
        <v>207</v>
      </c>
      <c r="G177" s="1221" t="s">
        <v>271</v>
      </c>
      <c r="H177" s="1221"/>
      <c r="I177" s="129">
        <f t="shared" si="2"/>
        <v>0</v>
      </c>
      <c r="J177" s="72" t="s">
        <v>124</v>
      </c>
      <c r="K177" s="103">
        <f>+③基本情報入力【例】!AK38</f>
        <v>0</v>
      </c>
      <c r="L177" s="72" t="s">
        <v>125</v>
      </c>
      <c r="M177" s="69">
        <f>+IFERROR(③基本情報入力【例】!AK39*1000,"")</f>
        <v>0</v>
      </c>
      <c r="N177" s="384" t="s">
        <v>126</v>
      </c>
      <c r="O177" s="1524"/>
      <c r="P177" s="1525"/>
      <c r="Q177" s="1525"/>
      <c r="R177" s="1526"/>
    </row>
    <row r="178" spans="1:18">
      <c r="A178" s="58"/>
      <c r="B178" s="1477"/>
      <c r="C178" s="150">
        <f>+③基本情報入力【例】!AP29</f>
        <v>0</v>
      </c>
      <c r="D178" s="1473">
        <f>+③基本情報入力【例】!AP30</f>
        <v>0</v>
      </c>
      <c r="E178" s="1473"/>
      <c r="F178" s="72" t="s">
        <v>207</v>
      </c>
      <c r="G178" s="1221" t="s">
        <v>271</v>
      </c>
      <c r="H178" s="1221"/>
      <c r="I178" s="129">
        <f t="shared" si="2"/>
        <v>0</v>
      </c>
      <c r="J178" s="72" t="s">
        <v>124</v>
      </c>
      <c r="K178" s="103">
        <f>+③基本情報入力【例】!AP38</f>
        <v>0</v>
      </c>
      <c r="L178" s="72" t="s">
        <v>125</v>
      </c>
      <c r="M178" s="69">
        <f>+IFERROR(③基本情報入力【例】!AP39*1000,"")</f>
        <v>0</v>
      </c>
      <c r="N178" s="384" t="s">
        <v>126</v>
      </c>
      <c r="O178" s="1524"/>
      <c r="P178" s="1525"/>
      <c r="Q178" s="1525"/>
      <c r="R178" s="1526"/>
    </row>
    <row r="179" spans="1:18">
      <c r="A179" s="58"/>
      <c r="B179" s="1477"/>
      <c r="C179" s="151">
        <f>+③基本情報入力【例】!AU29</f>
        <v>0</v>
      </c>
      <c r="D179" s="1473">
        <f>+③基本情報入力【例】!AU30</f>
        <v>0</v>
      </c>
      <c r="E179" s="1473"/>
      <c r="F179" s="72" t="s">
        <v>207</v>
      </c>
      <c r="G179" s="1221" t="s">
        <v>271</v>
      </c>
      <c r="H179" s="1221"/>
      <c r="I179" s="129">
        <f t="shared" si="2"/>
        <v>0</v>
      </c>
      <c r="J179" s="72" t="s">
        <v>124</v>
      </c>
      <c r="K179" s="103">
        <f>+③基本情報入力【例】!AU38</f>
        <v>0</v>
      </c>
      <c r="L179" s="72" t="s">
        <v>125</v>
      </c>
      <c r="M179" s="69">
        <f>+IFERROR(③基本情報入力【例】!AU39*1000,"")</f>
        <v>0</v>
      </c>
      <c r="N179" s="384" t="s">
        <v>280</v>
      </c>
      <c r="O179" s="1474"/>
      <c r="P179" s="1475"/>
      <c r="Q179" s="1475"/>
      <c r="R179" s="1476"/>
    </row>
    <row r="180" spans="1:18">
      <c r="A180" s="58"/>
      <c r="B180" s="1477"/>
      <c r="C180" s="151"/>
      <c r="D180" s="1473"/>
      <c r="E180" s="1473"/>
      <c r="F180" s="72" t="s">
        <v>207</v>
      </c>
      <c r="G180" s="1221" t="s">
        <v>271</v>
      </c>
      <c r="H180" s="1221"/>
      <c r="I180" s="129">
        <f t="shared" si="2"/>
        <v>0</v>
      </c>
      <c r="J180" s="72" t="s">
        <v>124</v>
      </c>
      <c r="K180" s="103"/>
      <c r="L180" s="72" t="s">
        <v>125</v>
      </c>
      <c r="M180" s="69"/>
      <c r="N180" s="384" t="s">
        <v>126</v>
      </c>
      <c r="O180" s="1474"/>
      <c r="P180" s="1475"/>
      <c r="Q180" s="1475"/>
      <c r="R180" s="1476"/>
    </row>
    <row r="181" spans="1:18" ht="14.25" thickBot="1">
      <c r="A181" s="58"/>
      <c r="B181" s="1477"/>
      <c r="C181" s="321"/>
      <c r="D181" s="1481"/>
      <c r="E181" s="1481"/>
      <c r="F181" s="88" t="s">
        <v>207</v>
      </c>
      <c r="G181" s="1461" t="s">
        <v>271</v>
      </c>
      <c r="H181" s="1461"/>
      <c r="I181" s="322">
        <f t="shared" si="2"/>
        <v>0</v>
      </c>
      <c r="J181" s="88" t="s">
        <v>124</v>
      </c>
      <c r="K181" s="130"/>
      <c r="L181" s="88" t="s">
        <v>125</v>
      </c>
      <c r="M181" s="90"/>
      <c r="N181" s="390" t="s">
        <v>126</v>
      </c>
      <c r="O181" s="1482"/>
      <c r="P181" s="1483"/>
      <c r="Q181" s="1483"/>
      <c r="R181" s="1484"/>
    </row>
    <row r="182" spans="1:18" ht="14.25" thickTop="1">
      <c r="A182" s="58"/>
      <c r="B182" s="1478"/>
      <c r="C182" s="1427" t="s">
        <v>259</v>
      </c>
      <c r="D182" s="1428"/>
      <c r="E182" s="1428"/>
      <c r="F182" s="1428"/>
      <c r="G182" s="1428"/>
      <c r="H182" s="1429"/>
      <c r="I182" s="137">
        <f>SUM(I165:I181)</f>
        <v>111</v>
      </c>
      <c r="J182" s="112" t="s">
        <v>124</v>
      </c>
      <c r="M182" s="58" t="s">
        <v>195</v>
      </c>
    </row>
    <row r="183" spans="1:18">
      <c r="A183" s="58"/>
    </row>
    <row r="184" spans="1:18">
      <c r="A184" s="58"/>
      <c r="B184" s="58" t="s">
        <v>335</v>
      </c>
    </row>
    <row r="185" spans="1:18">
      <c r="A185" s="58"/>
      <c r="B185" s="128" t="s">
        <v>131</v>
      </c>
      <c r="C185" s="388" t="s">
        <v>275</v>
      </c>
      <c r="D185" s="1466" t="s">
        <v>302</v>
      </c>
      <c r="E185" s="1466"/>
      <c r="F185" s="388" t="s">
        <v>23</v>
      </c>
      <c r="G185" s="1466" t="s">
        <v>276</v>
      </c>
      <c r="H185" s="1466"/>
      <c r="I185" s="1467" t="s">
        <v>277</v>
      </c>
      <c r="J185" s="1467"/>
      <c r="K185" s="1468" t="s">
        <v>291</v>
      </c>
      <c r="L185" s="1468"/>
      <c r="M185" s="1467" t="s">
        <v>278</v>
      </c>
      <c r="N185" s="1467"/>
      <c r="O185" s="1466" t="s">
        <v>97</v>
      </c>
      <c r="P185" s="1466"/>
      <c r="Q185" s="1466"/>
      <c r="R185" s="1466"/>
    </row>
    <row r="186" spans="1:18" ht="14.25" thickBot="1">
      <c r="A186" s="58"/>
      <c r="B186" s="131"/>
      <c r="C186" s="88" t="str">
        <f>③基本情報入力【例】!L12</f>
        <v>A市浄化センター</v>
      </c>
      <c r="D186" s="1461" t="s">
        <v>279</v>
      </c>
      <c r="E186" s="1461"/>
      <c r="F186" s="88" t="s">
        <v>281</v>
      </c>
      <c r="G186" s="1461" t="s">
        <v>271</v>
      </c>
      <c r="H186" s="1461"/>
      <c r="I186" s="88">
        <f>ROUND(K186*M186/10^6,1)</f>
        <v>0</v>
      </c>
      <c r="J186" s="88" t="s">
        <v>124</v>
      </c>
      <c r="K186" s="90">
        <f>'物質収支（いしかわモデル） 【例】'!X41*365</f>
        <v>2992.9999999999995</v>
      </c>
      <c r="L186" s="88" t="s">
        <v>125</v>
      </c>
      <c r="M186" s="130">
        <f>IF(③基本情報入力【例】!E94="〇",0,③基本情報入力【例】!Q23*1000)</f>
        <v>0</v>
      </c>
      <c r="N186" s="88" t="s">
        <v>126</v>
      </c>
      <c r="O186" s="1430" t="s">
        <v>707</v>
      </c>
      <c r="P186" s="1430"/>
      <c r="Q186" s="1430"/>
      <c r="R186" s="1430"/>
    </row>
    <row r="187" spans="1:18" ht="14.25" thickTop="1">
      <c r="A187" s="58"/>
      <c r="B187" s="132"/>
      <c r="C187" s="1427" t="s">
        <v>259</v>
      </c>
      <c r="D187" s="1428"/>
      <c r="E187" s="1428"/>
      <c r="F187" s="1428"/>
      <c r="G187" s="1428"/>
      <c r="H187" s="1429"/>
      <c r="I187" s="112">
        <f>SUM(I186:I186)</f>
        <v>0</v>
      </c>
      <c r="J187" s="112" t="s">
        <v>124</v>
      </c>
    </row>
    <row r="188" spans="1:18">
      <c r="A188" s="58"/>
      <c r="B188" s="73"/>
      <c r="C188" s="525"/>
      <c r="D188" s="525"/>
      <c r="E188" s="525"/>
      <c r="F188" s="525"/>
      <c r="G188" s="525"/>
      <c r="H188" s="525"/>
      <c r="I188" s="101"/>
      <c r="J188" s="101"/>
    </row>
    <row r="189" spans="1:18">
      <c r="A189" s="58"/>
      <c r="B189" s="58" t="s">
        <v>714</v>
      </c>
    </row>
    <row r="190" spans="1:18">
      <c r="A190" s="58"/>
      <c r="B190" s="128" t="s">
        <v>131</v>
      </c>
      <c r="C190" s="523" t="s">
        <v>275</v>
      </c>
      <c r="D190" s="1466" t="s">
        <v>715</v>
      </c>
      <c r="E190" s="1466"/>
      <c r="F190" s="523" t="s">
        <v>23</v>
      </c>
      <c r="G190" s="1466" t="s">
        <v>276</v>
      </c>
      <c r="H190" s="1466"/>
      <c r="I190" s="1467" t="s">
        <v>277</v>
      </c>
      <c r="J190" s="1467"/>
      <c r="K190" s="1468" t="s">
        <v>291</v>
      </c>
      <c r="L190" s="1468"/>
      <c r="M190" s="1467" t="s">
        <v>278</v>
      </c>
      <c r="N190" s="1467"/>
      <c r="O190" s="1466" t="s">
        <v>97</v>
      </c>
      <c r="P190" s="1466"/>
      <c r="Q190" s="1466"/>
      <c r="R190" s="1466"/>
    </row>
    <row r="191" spans="1:18" ht="14.25" thickBot="1">
      <c r="A191" s="58"/>
      <c r="B191" s="131"/>
      <c r="C191" s="88" t="str">
        <f>+C186</f>
        <v>A市浄化センター</v>
      </c>
      <c r="D191" s="1461" t="s">
        <v>716</v>
      </c>
      <c r="E191" s="1461"/>
      <c r="F191" s="88" t="s">
        <v>717</v>
      </c>
      <c r="G191" s="1461" t="s">
        <v>271</v>
      </c>
      <c r="H191" s="1461"/>
      <c r="I191" s="88">
        <f>ROUND(K191*M191/10^6,1)</f>
        <v>7.4</v>
      </c>
      <c r="J191" s="88" t="s">
        <v>124</v>
      </c>
      <c r="K191" s="90">
        <f>+IF(③基本情報入力【例】!E93="〇",'物質収支（いしかわモデル） 【例】'!X37*365,0)</f>
        <v>614970.25</v>
      </c>
      <c r="L191" s="88" t="s">
        <v>718</v>
      </c>
      <c r="M191" s="130">
        <f>+③基本情報入力【例】!H61</f>
        <v>12</v>
      </c>
      <c r="N191" s="88" t="s">
        <v>719</v>
      </c>
      <c r="O191" s="1430"/>
      <c r="P191" s="1430"/>
      <c r="Q191" s="1430"/>
      <c r="R191" s="1430"/>
    </row>
    <row r="192" spans="1:18" ht="14.25" thickTop="1">
      <c r="A192" s="58"/>
      <c r="B192" s="132"/>
      <c r="C192" s="1427" t="s">
        <v>259</v>
      </c>
      <c r="D192" s="1428"/>
      <c r="E192" s="1428"/>
      <c r="F192" s="1428"/>
      <c r="G192" s="1428"/>
      <c r="H192" s="1429"/>
      <c r="I192" s="112">
        <f>SUM(I191:I191)</f>
        <v>7.4</v>
      </c>
      <c r="J192" s="112" t="s">
        <v>124</v>
      </c>
    </row>
    <row r="193" spans="1:36">
      <c r="A193" s="58"/>
      <c r="B193" s="73"/>
      <c r="C193" s="525"/>
      <c r="D193" s="525"/>
      <c r="E193" s="525"/>
      <c r="F193" s="525"/>
      <c r="G193" s="525"/>
      <c r="H193" s="525"/>
      <c r="I193" s="101"/>
      <c r="J193" s="101"/>
    </row>
    <row r="194" spans="1:36">
      <c r="A194" s="58"/>
    </row>
    <row r="195" spans="1:36">
      <c r="B195" s="58" t="s">
        <v>282</v>
      </c>
      <c r="J195" s="73"/>
      <c r="K195" s="133"/>
      <c r="L195" s="73"/>
      <c r="M195" s="73"/>
    </row>
    <row r="196" spans="1:36">
      <c r="B196" s="1488" t="s">
        <v>23</v>
      </c>
      <c r="C196" s="1488"/>
      <c r="D196" s="391" t="s">
        <v>24</v>
      </c>
      <c r="E196" s="391" t="s">
        <v>237</v>
      </c>
      <c r="F196" s="255" t="s">
        <v>283</v>
      </c>
      <c r="G196" s="430" t="s">
        <v>40</v>
      </c>
      <c r="H196" s="430" t="s">
        <v>98</v>
      </c>
      <c r="I196" s="1489" t="s">
        <v>342</v>
      </c>
      <c r="J196" s="1490"/>
      <c r="K196" s="133"/>
      <c r="L196" s="73"/>
      <c r="M196" s="73"/>
    </row>
    <row r="197" spans="1:36">
      <c r="B197" s="1419" t="s">
        <v>284</v>
      </c>
      <c r="C197" s="1419"/>
      <c r="D197" s="385" t="s">
        <v>7</v>
      </c>
      <c r="E197" s="156">
        <f>K37+K69+K84+K98+K113+K127+K141</f>
        <v>2909.2995528165657</v>
      </c>
      <c r="F197" s="152">
        <f>K37+K69+K84+K98+K113+K127+K141</f>
        <v>2909.2995528165657</v>
      </c>
      <c r="G197" s="153">
        <f>+K158</f>
        <v>0</v>
      </c>
      <c r="H197" s="153">
        <f>-K152</f>
        <v>-541.73951999999997</v>
      </c>
      <c r="I197" s="1527"/>
      <c r="J197" s="1528"/>
      <c r="K197" s="134"/>
      <c r="M197" s="73">
        <f>+③基本情報入力【例】!Q23</f>
        <v>21.4</v>
      </c>
      <c r="T197" s="101"/>
      <c r="U197" s="101"/>
      <c r="V197" s="101"/>
      <c r="W197" s="101"/>
      <c r="X197" s="101"/>
      <c r="Y197" s="101"/>
      <c r="Z197" s="101"/>
      <c r="AA197" s="101"/>
      <c r="AB197" s="101"/>
      <c r="AC197" s="101"/>
      <c r="AD197" s="101"/>
      <c r="AE197" s="101"/>
      <c r="AF197" s="101"/>
      <c r="AG197" s="101"/>
      <c r="AH197" s="101"/>
      <c r="AI197" s="101"/>
      <c r="AJ197" s="101"/>
    </row>
    <row r="198" spans="1:36">
      <c r="B198" s="1419" t="s">
        <v>285</v>
      </c>
      <c r="C198" s="1419"/>
      <c r="D198" s="385" t="s">
        <v>14</v>
      </c>
      <c r="E198" s="156">
        <f>I37+I69+I84+I98+I113+I127+I141</f>
        <v>164.49318519371113</v>
      </c>
      <c r="F198" s="152">
        <f>I37+I69+I84+I98+I113+I127+I141</f>
        <v>164.49318519371113</v>
      </c>
      <c r="G198" s="153">
        <f>+I158</f>
        <v>0</v>
      </c>
      <c r="H198" s="153">
        <f>-I152</f>
        <v>-38.801893457729143</v>
      </c>
      <c r="I198" s="1527"/>
      <c r="J198" s="1528"/>
      <c r="K198" s="135"/>
      <c r="L198" s="73"/>
      <c r="M198" s="73"/>
    </row>
    <row r="199" spans="1:36">
      <c r="B199" s="1419" t="s">
        <v>264</v>
      </c>
      <c r="C199" s="1419"/>
      <c r="D199" s="385" t="s">
        <v>14</v>
      </c>
      <c r="E199" s="156">
        <f>I60+I74+I89+I103+I118+I132+I146-I192</f>
        <v>125.99226906242413</v>
      </c>
      <c r="F199" s="152">
        <f>I60+I74+I89+I103+I118+I132+I146</f>
        <v>133.39226906242413</v>
      </c>
      <c r="G199" s="153">
        <f>+I161</f>
        <v>0</v>
      </c>
      <c r="H199" s="153"/>
      <c r="I199" s="1527"/>
      <c r="J199" s="1528"/>
      <c r="K199" s="73"/>
      <c r="L199" s="73"/>
      <c r="M199" s="73"/>
    </row>
    <row r="200" spans="1:36" s="101" customFormat="1">
      <c r="A200" s="148"/>
      <c r="B200" s="1419" t="s">
        <v>286</v>
      </c>
      <c r="C200" s="1419"/>
      <c r="D200" s="385" t="s">
        <v>14</v>
      </c>
      <c r="E200" s="156">
        <f>I182</f>
        <v>111</v>
      </c>
      <c r="F200" s="152">
        <f>+SUM(I165:I171)</f>
        <v>5.5</v>
      </c>
      <c r="G200" s="254">
        <f>+I172+I173+I174</f>
        <v>89.3</v>
      </c>
      <c r="H200" s="153">
        <f>+I175</f>
        <v>16.2</v>
      </c>
      <c r="I200" s="1531">
        <f>SUM(I176:I179)</f>
        <v>0</v>
      </c>
      <c r="J200" s="1532"/>
      <c r="K200" s="73"/>
      <c r="L200" s="73"/>
      <c r="T200" s="58"/>
      <c r="U200" s="58"/>
      <c r="V200" s="58"/>
      <c r="W200" s="58"/>
      <c r="X200" s="58"/>
      <c r="Y200" s="58"/>
      <c r="Z200" s="58"/>
      <c r="AA200" s="58"/>
      <c r="AB200" s="58"/>
      <c r="AC200" s="58"/>
      <c r="AD200" s="58"/>
      <c r="AE200" s="58"/>
      <c r="AF200" s="58"/>
      <c r="AG200" s="58"/>
      <c r="AH200" s="58"/>
      <c r="AI200" s="58"/>
      <c r="AJ200" s="58"/>
    </row>
    <row r="201" spans="1:36">
      <c r="B201" s="1419" t="s">
        <v>287</v>
      </c>
      <c r="C201" s="1419"/>
      <c r="D201" s="385" t="s">
        <v>14</v>
      </c>
      <c r="E201" s="156">
        <f>I187</f>
        <v>0</v>
      </c>
      <c r="F201" s="152">
        <f>+SUM(I186)</f>
        <v>0</v>
      </c>
      <c r="G201" s="153"/>
      <c r="H201" s="153"/>
      <c r="I201" s="1527"/>
      <c r="J201" s="1528"/>
    </row>
    <row r="202" spans="1:36">
      <c r="B202" s="1419" t="s">
        <v>301</v>
      </c>
      <c r="C202" s="1419"/>
      <c r="D202" s="385" t="s">
        <v>14</v>
      </c>
      <c r="E202" s="156">
        <f>-I152</f>
        <v>-38.801893457729143</v>
      </c>
      <c r="F202" s="152"/>
      <c r="G202" s="153"/>
      <c r="H202" s="153"/>
      <c r="I202" s="1527"/>
      <c r="J202" s="1528"/>
    </row>
    <row r="203" spans="1:36">
      <c r="B203" s="1419" t="s">
        <v>288</v>
      </c>
      <c r="C203" s="1419"/>
      <c r="D203" s="385" t="s">
        <v>14</v>
      </c>
      <c r="E203" s="156">
        <f>+E198+E199+E200+E201+E202</f>
        <v>362.68356079840612</v>
      </c>
      <c r="F203" s="154">
        <f>+SUM(F198:F201)</f>
        <v>303.38545425613529</v>
      </c>
      <c r="G203" s="155">
        <f>+SUM(G198:G201)</f>
        <v>89.3</v>
      </c>
      <c r="H203" s="155">
        <f>+SUM(H198:H201)</f>
        <v>-22.601893457729144</v>
      </c>
      <c r="I203" s="1529"/>
      <c r="J203" s="1530"/>
    </row>
    <row r="204" spans="1:36">
      <c r="B204" s="101" t="s">
        <v>289</v>
      </c>
    </row>
    <row r="216" spans="1:1">
      <c r="A216" s="58"/>
    </row>
    <row r="217" spans="1:1">
      <c r="A217" s="58"/>
    </row>
    <row r="218" spans="1:1">
      <c r="A218" s="58"/>
    </row>
    <row r="219" spans="1:1">
      <c r="A219" s="58"/>
    </row>
    <row r="220" spans="1:1">
      <c r="A220" s="58"/>
    </row>
    <row r="221" spans="1:1">
      <c r="A221" s="58"/>
    </row>
    <row r="222" spans="1:1">
      <c r="A222" s="58"/>
    </row>
    <row r="223" spans="1:1">
      <c r="A223" s="58"/>
    </row>
    <row r="224" spans="1:1">
      <c r="A224" s="58"/>
    </row>
    <row r="225" spans="1:18">
      <c r="A225" s="58"/>
    </row>
    <row r="226" spans="1:18">
      <c r="A226" s="58"/>
    </row>
    <row r="227" spans="1:18">
      <c r="A227" s="58"/>
    </row>
    <row r="228" spans="1:18">
      <c r="A228" s="58"/>
    </row>
    <row r="229" spans="1:18">
      <c r="A229" s="58"/>
    </row>
    <row r="230" spans="1:18">
      <c r="A230" s="58"/>
    </row>
    <row r="231" spans="1:18">
      <c r="A231" s="58"/>
    </row>
    <row r="232" spans="1:18">
      <c r="A232" s="58"/>
    </row>
    <row r="233" spans="1:18" hidden="1">
      <c r="A233" s="58"/>
      <c r="B233" s="400" t="s">
        <v>230</v>
      </c>
      <c r="C233" s="383" t="s">
        <v>231</v>
      </c>
      <c r="D233" s="383" t="s">
        <v>232</v>
      </c>
      <c r="E233" s="383" t="s">
        <v>233</v>
      </c>
      <c r="F233" s="383" t="s">
        <v>23</v>
      </c>
      <c r="G233" s="1415" t="s">
        <v>235</v>
      </c>
      <c r="H233" s="1415"/>
      <c r="I233" s="1415" t="s">
        <v>236</v>
      </c>
      <c r="J233" s="1415"/>
      <c r="K233" s="1415" t="s">
        <v>237</v>
      </c>
      <c r="L233" s="1415"/>
      <c r="M233" s="1416" t="s">
        <v>291</v>
      </c>
      <c r="N233" s="1416"/>
      <c r="O233" s="77" t="s">
        <v>238</v>
      </c>
      <c r="P233" s="77" t="s">
        <v>239</v>
      </c>
      <c r="Q233" s="77" t="s">
        <v>240</v>
      </c>
      <c r="R233" s="383" t="s">
        <v>97</v>
      </c>
    </row>
    <row r="234" spans="1:18" ht="15.75" hidden="1">
      <c r="A234" s="58"/>
      <c r="B234" s="1417"/>
      <c r="C234" s="1419" t="s">
        <v>413</v>
      </c>
      <c r="D234" s="1221"/>
      <c r="E234" s="167">
        <f>+③基本情報入力【例】!J175</f>
        <v>0</v>
      </c>
      <c r="F234" s="78" t="s">
        <v>415</v>
      </c>
      <c r="G234" s="79" t="s">
        <v>11</v>
      </c>
      <c r="H234" s="79" t="s">
        <v>421</v>
      </c>
      <c r="I234" s="80">
        <f>K234*(1-O234)*(P234+P234/((P234+1)^Q234-1))</f>
        <v>8.1877135300969854</v>
      </c>
      <c r="J234" s="72" t="s">
        <v>124</v>
      </c>
      <c r="K234" s="70">
        <f>4.8485*M234^0.7556</f>
        <v>144.53830762024114</v>
      </c>
      <c r="L234" s="79" t="s">
        <v>120</v>
      </c>
      <c r="M234" s="80">
        <f>'物質収支（いしかわモデル） 【例】'!X87/24</f>
        <v>89.384999999999991</v>
      </c>
      <c r="N234" s="1221" t="s">
        <v>425</v>
      </c>
      <c r="O234" s="81">
        <f>+③基本情報入力【例】!$Y$61</f>
        <v>0.1</v>
      </c>
      <c r="P234" s="82">
        <f>+③基本情報入力【例】!$AB$61</f>
        <v>2.3E-2</v>
      </c>
      <c r="Q234" s="83">
        <f>+③基本情報入力【例】!$AE$61</f>
        <v>20</v>
      </c>
      <c r="R234" s="72" t="s">
        <v>417</v>
      </c>
    </row>
    <row r="235" spans="1:18" ht="15.75" hidden="1">
      <c r="A235" s="58"/>
      <c r="B235" s="1417"/>
      <c r="C235" s="1419"/>
      <c r="D235" s="1221"/>
      <c r="E235" s="393">
        <v>0</v>
      </c>
      <c r="F235" s="78" t="s">
        <v>8</v>
      </c>
      <c r="G235" s="79" t="s">
        <v>11</v>
      </c>
      <c r="H235" s="79" t="s">
        <v>422</v>
      </c>
      <c r="I235" s="80">
        <f>K235*(1-O235)*(P235+P235/((P235+1)^Q235-1))</f>
        <v>0.45982904239506228</v>
      </c>
      <c r="J235" s="72" t="s">
        <v>124</v>
      </c>
      <c r="K235" s="70">
        <f>0.0407*M235^1.288</f>
        <v>13.268544072319559</v>
      </c>
      <c r="L235" s="79" t="s">
        <v>120</v>
      </c>
      <c r="M235" s="80">
        <f>'物質収支（いしかわモデル） 【例】'!X87/24</f>
        <v>89.384999999999991</v>
      </c>
      <c r="N235" s="1221"/>
      <c r="O235" s="81">
        <f>+③基本情報入力【例】!$Y$63</f>
        <v>0.1</v>
      </c>
      <c r="P235" s="84">
        <f>+③基本情報入力【例】!$AB$63</f>
        <v>2.3E-2</v>
      </c>
      <c r="Q235" s="83">
        <f>+③基本情報入力【例】!$AE$63</f>
        <v>40</v>
      </c>
      <c r="R235" s="72" t="s">
        <v>417</v>
      </c>
    </row>
    <row r="236" spans="1:18" hidden="1">
      <c r="A236" s="58"/>
      <c r="B236" s="1418"/>
      <c r="C236" s="1434" t="s">
        <v>259</v>
      </c>
      <c r="D236" s="1434"/>
      <c r="E236" s="1434"/>
      <c r="F236" s="1434"/>
      <c r="G236" s="1434"/>
      <c r="H236" s="1434"/>
      <c r="I236" s="109">
        <f>SUM(I234:I235)</f>
        <v>8.6475425724920481</v>
      </c>
      <c r="J236" s="110" t="s">
        <v>124</v>
      </c>
      <c r="K236" s="111">
        <f>SUM(K234)</f>
        <v>144.53830762024114</v>
      </c>
      <c r="L236" s="112" t="s">
        <v>120</v>
      </c>
      <c r="M236" s="113"/>
      <c r="N236" s="382"/>
      <c r="O236" s="99"/>
      <c r="P236" s="100"/>
      <c r="Q236" s="101"/>
      <c r="R236" s="101"/>
    </row>
    <row r="237" spans="1:18" hidden="1">
      <c r="B237" s="381" t="s">
        <v>260</v>
      </c>
      <c r="C237" s="380" t="s">
        <v>231</v>
      </c>
      <c r="D237" s="380" t="s">
        <v>232</v>
      </c>
      <c r="E237" s="380" t="s">
        <v>233</v>
      </c>
      <c r="F237" s="380" t="s">
        <v>273</v>
      </c>
      <c r="G237" s="1432" t="s">
        <v>235</v>
      </c>
      <c r="H237" s="1432"/>
      <c r="I237" s="1432" t="s">
        <v>237</v>
      </c>
      <c r="J237" s="1432"/>
      <c r="K237" s="1433" t="s">
        <v>291</v>
      </c>
      <c r="L237" s="1433"/>
      <c r="M237" s="1432" t="s">
        <v>97</v>
      </c>
      <c r="N237" s="1432"/>
      <c r="O237" s="1432"/>
      <c r="P237" s="1432"/>
      <c r="Q237" s="1432"/>
      <c r="R237" s="1432"/>
    </row>
    <row r="238" spans="1:18" ht="15.75" hidden="1">
      <c r="B238" s="1435"/>
      <c r="C238" s="384" t="s">
        <v>413</v>
      </c>
      <c r="D238" s="385"/>
      <c r="E238" s="167">
        <f>+③基本情報入力【例】!J175</f>
        <v>0</v>
      </c>
      <c r="F238" s="78" t="s">
        <v>264</v>
      </c>
      <c r="G238" s="79" t="s">
        <v>11</v>
      </c>
      <c r="H238" s="72" t="s">
        <v>416</v>
      </c>
      <c r="I238" s="80">
        <f>0.0296*K238+5.9964</f>
        <v>8.6421960000000002</v>
      </c>
      <c r="J238" s="72" t="s">
        <v>124</v>
      </c>
      <c r="K238" s="80">
        <f>'物質収支（いしかわモデル） 【例】'!X87/24</f>
        <v>89.384999999999991</v>
      </c>
      <c r="L238" s="385" t="s">
        <v>243</v>
      </c>
      <c r="M238" s="1217" t="s">
        <v>417</v>
      </c>
      <c r="N238" s="1218"/>
      <c r="O238" s="1218"/>
      <c r="P238" s="1218"/>
      <c r="Q238" s="1218"/>
      <c r="R238" s="1422"/>
    </row>
    <row r="239" spans="1:18" ht="14.25" hidden="1" thickTop="1">
      <c r="B239" s="1436"/>
      <c r="C239" s="1434" t="s">
        <v>259</v>
      </c>
      <c r="D239" s="1434"/>
      <c r="E239" s="1434"/>
      <c r="F239" s="1434"/>
      <c r="G239" s="1434"/>
      <c r="H239" s="1434"/>
      <c r="I239" s="109">
        <f>SUM(I238:I238)</f>
        <v>8.6421960000000002</v>
      </c>
      <c r="J239" s="114" t="s">
        <v>124</v>
      </c>
      <c r="K239" s="95"/>
      <c r="L239" s="101"/>
      <c r="M239" s="1431"/>
      <c r="N239" s="1431"/>
      <c r="O239" s="1431"/>
      <c r="P239" s="1431"/>
      <c r="Q239" s="1431"/>
      <c r="R239" s="1431"/>
    </row>
    <row r="240" spans="1:18" hidden="1"/>
    <row r="241" spans="2:18" hidden="1">
      <c r="B241" s="400" t="s">
        <v>230</v>
      </c>
      <c r="C241" s="383" t="s">
        <v>231</v>
      </c>
      <c r="D241" s="383" t="s">
        <v>232</v>
      </c>
      <c r="E241" s="383" t="s">
        <v>233</v>
      </c>
      <c r="F241" s="383" t="s">
        <v>23</v>
      </c>
      <c r="G241" s="1415" t="s">
        <v>235</v>
      </c>
      <c r="H241" s="1415"/>
      <c r="I241" s="1415" t="s">
        <v>236</v>
      </c>
      <c r="J241" s="1415"/>
      <c r="K241" s="1415" t="s">
        <v>237</v>
      </c>
      <c r="L241" s="1415"/>
      <c r="M241" s="1416" t="s">
        <v>291</v>
      </c>
      <c r="N241" s="1416"/>
      <c r="O241" s="77" t="s">
        <v>238</v>
      </c>
      <c r="P241" s="77" t="s">
        <v>239</v>
      </c>
      <c r="Q241" s="77" t="s">
        <v>240</v>
      </c>
      <c r="R241" s="383" t="s">
        <v>97</v>
      </c>
    </row>
    <row r="242" spans="2:18" ht="15.75" hidden="1">
      <c r="B242" s="1417"/>
      <c r="C242" s="1423" t="s">
        <v>426</v>
      </c>
      <c r="D242" s="1347"/>
      <c r="E242" s="167">
        <f>+③基本情報入力【例】!J191</f>
        <v>0</v>
      </c>
      <c r="F242" s="78" t="s">
        <v>3</v>
      </c>
      <c r="G242" s="79" t="s">
        <v>11</v>
      </c>
      <c r="H242" s="79" t="s">
        <v>427</v>
      </c>
      <c r="I242" s="80">
        <f>K242*(1-O242)*(P242+P242/((P242+1)^Q242-1))</f>
        <v>7.2666615344891436</v>
      </c>
      <c r="J242" s="72" t="s">
        <v>124</v>
      </c>
      <c r="K242" s="70">
        <f>0.919*M242^0.712</f>
        <v>128.2789091708396</v>
      </c>
      <c r="L242" s="79" t="s">
        <v>120</v>
      </c>
      <c r="M242" s="80">
        <f>'物質収支（いしかわモデル） 【例】'!X84</f>
        <v>1029</v>
      </c>
      <c r="N242" s="1221" t="s">
        <v>433</v>
      </c>
      <c r="O242" s="81">
        <f>+③基本情報入力【例】!$Y$61</f>
        <v>0.1</v>
      </c>
      <c r="P242" s="82">
        <f>+③基本情報入力【例】!$AB$61</f>
        <v>2.3E-2</v>
      </c>
      <c r="Q242" s="83">
        <f>+③基本情報入力【例】!$AE$61</f>
        <v>20</v>
      </c>
      <c r="R242" s="72" t="s">
        <v>442</v>
      </c>
    </row>
    <row r="243" spans="2:18" ht="16.5" hidden="1" thickBot="1">
      <c r="B243" s="1417"/>
      <c r="C243" s="1453"/>
      <c r="D243" s="1349"/>
      <c r="E243" s="393">
        <v>0</v>
      </c>
      <c r="F243" s="78" t="s">
        <v>4</v>
      </c>
      <c r="G243" s="79" t="s">
        <v>11</v>
      </c>
      <c r="H243" s="79" t="s">
        <v>430</v>
      </c>
      <c r="I243" s="80">
        <f>K243*(1-O243)*(P243+P243/((P243+1)^Q243-1))</f>
        <v>3.9862071209582246</v>
      </c>
      <c r="J243" s="72" t="s">
        <v>124</v>
      </c>
      <c r="K243" s="70">
        <f>1.01*M243^0.578</f>
        <v>55.654137978628249</v>
      </c>
      <c r="L243" s="79" t="s">
        <v>120</v>
      </c>
      <c r="M243" s="80">
        <f>'物質収支（いしかわモデル） 【例】'!X84</f>
        <v>1029</v>
      </c>
      <c r="N243" s="1221"/>
      <c r="O243" s="91">
        <f>+③基本情報入力【例】!$Y$62</f>
        <v>0.1</v>
      </c>
      <c r="P243" s="92">
        <f>+③基本情報入力【例】!$AB$62</f>
        <v>2.3E-2</v>
      </c>
      <c r="Q243" s="93">
        <f>+③基本情報入力【例】!$AE$62</f>
        <v>15</v>
      </c>
      <c r="R243" s="72" t="s">
        <v>434</v>
      </c>
    </row>
    <row r="244" spans="2:18" hidden="1">
      <c r="B244" s="1418"/>
      <c r="C244" s="1434" t="s">
        <v>259</v>
      </c>
      <c r="D244" s="1434"/>
      <c r="E244" s="1434"/>
      <c r="F244" s="1434"/>
      <c r="G244" s="1434"/>
      <c r="H244" s="1434"/>
      <c r="I244" s="109">
        <f>SUM(I242:I243)</f>
        <v>11.252868655447369</v>
      </c>
      <c r="J244" s="110" t="s">
        <v>124</v>
      </c>
      <c r="K244" s="111">
        <f>SUM(K242:K243)</f>
        <v>183.93304714946785</v>
      </c>
      <c r="L244" s="112" t="s">
        <v>120</v>
      </c>
      <c r="M244" s="113"/>
      <c r="N244" s="382"/>
      <c r="O244" s="99"/>
      <c r="P244" s="100"/>
      <c r="Q244" s="101"/>
      <c r="R244" s="101"/>
    </row>
    <row r="245" spans="2:18" hidden="1">
      <c r="B245" s="381" t="s">
        <v>260</v>
      </c>
      <c r="C245" s="380" t="s">
        <v>231</v>
      </c>
      <c r="D245" s="380" t="s">
        <v>232</v>
      </c>
      <c r="E245" s="380" t="s">
        <v>233</v>
      </c>
      <c r="F245" s="380" t="s">
        <v>273</v>
      </c>
      <c r="G245" s="1432" t="s">
        <v>235</v>
      </c>
      <c r="H245" s="1432"/>
      <c r="I245" s="1432" t="s">
        <v>237</v>
      </c>
      <c r="J245" s="1432"/>
      <c r="K245" s="1433" t="s">
        <v>291</v>
      </c>
      <c r="L245" s="1433"/>
      <c r="M245" s="1432" t="s">
        <v>97</v>
      </c>
      <c r="N245" s="1432"/>
      <c r="O245" s="1432"/>
      <c r="P245" s="1432"/>
      <c r="Q245" s="1432"/>
      <c r="R245" s="1432"/>
    </row>
    <row r="246" spans="2:18" ht="15.75" hidden="1">
      <c r="B246" s="1435"/>
      <c r="C246" s="384" t="s">
        <v>426</v>
      </c>
      <c r="D246" s="385"/>
      <c r="E246" s="167">
        <f>+③基本情報入力【例】!J191</f>
        <v>0</v>
      </c>
      <c r="F246" s="78" t="s">
        <v>13</v>
      </c>
      <c r="G246" s="79" t="s">
        <v>11</v>
      </c>
      <c r="H246" s="72" t="s">
        <v>431</v>
      </c>
      <c r="I246" s="80">
        <f>0.344*K246^0.668</f>
        <v>57.807519525809901</v>
      </c>
      <c r="J246" s="72" t="s">
        <v>124</v>
      </c>
      <c r="K246" s="80">
        <f>'物質収支（いしかわモデル） 【例】'!X87</f>
        <v>2145.2399999999998</v>
      </c>
      <c r="L246" s="385" t="s">
        <v>357</v>
      </c>
      <c r="M246" s="1217" t="s">
        <v>435</v>
      </c>
      <c r="N246" s="1218"/>
      <c r="O246" s="1218"/>
      <c r="P246" s="1218"/>
      <c r="Q246" s="1218"/>
      <c r="R246" s="1422"/>
    </row>
    <row r="247" spans="2:18" ht="14.25" hidden="1" thickTop="1">
      <c r="B247" s="1436"/>
      <c r="C247" s="1434" t="s">
        <v>259</v>
      </c>
      <c r="D247" s="1434"/>
      <c r="E247" s="1434"/>
      <c r="F247" s="1434"/>
      <c r="G247" s="1434"/>
      <c r="H247" s="1434"/>
      <c r="I247" s="109">
        <f>SUM(I246:I246)</f>
        <v>57.807519525809901</v>
      </c>
      <c r="J247" s="114" t="s">
        <v>124</v>
      </c>
      <c r="K247" s="95"/>
      <c r="L247" s="101"/>
      <c r="M247" s="1431"/>
      <c r="N247" s="1431"/>
      <c r="O247" s="1431"/>
      <c r="P247" s="1431"/>
      <c r="Q247" s="1431"/>
      <c r="R247" s="1431"/>
    </row>
    <row r="248" spans="2:18" hidden="1"/>
    <row r="249" spans="2:18" hidden="1">
      <c r="B249" s="400" t="s">
        <v>230</v>
      </c>
      <c r="C249" s="383" t="s">
        <v>231</v>
      </c>
      <c r="D249" s="383" t="s">
        <v>232</v>
      </c>
      <c r="E249" s="383" t="s">
        <v>233</v>
      </c>
      <c r="F249" s="383" t="s">
        <v>23</v>
      </c>
      <c r="G249" s="1415" t="s">
        <v>235</v>
      </c>
      <c r="H249" s="1415"/>
      <c r="I249" s="1415" t="s">
        <v>236</v>
      </c>
      <c r="J249" s="1415"/>
      <c r="K249" s="1415" t="s">
        <v>237</v>
      </c>
      <c r="L249" s="1415"/>
      <c r="M249" s="1416" t="s">
        <v>291</v>
      </c>
      <c r="N249" s="1416"/>
      <c r="O249" s="77" t="s">
        <v>238</v>
      </c>
      <c r="P249" s="77" t="s">
        <v>239</v>
      </c>
      <c r="Q249" s="77" t="s">
        <v>240</v>
      </c>
      <c r="R249" s="383" t="s">
        <v>97</v>
      </c>
    </row>
    <row r="250" spans="2:18" ht="15.75" hidden="1">
      <c r="B250" s="1417"/>
      <c r="C250" s="1419" t="s">
        <v>413</v>
      </c>
      <c r="D250" s="1221"/>
      <c r="E250" s="167">
        <f>+③基本情報入力【例】!J199</f>
        <v>0</v>
      </c>
      <c r="F250" s="78" t="s">
        <v>3</v>
      </c>
      <c r="G250" s="79" t="s">
        <v>11</v>
      </c>
      <c r="H250" s="79" t="s">
        <v>429</v>
      </c>
      <c r="I250" s="80">
        <f>K250*(1-O250)*(P250+P250/((P250+1)^Q250-1))</f>
        <v>9.4651895714247285</v>
      </c>
      <c r="J250" s="72" t="s">
        <v>124</v>
      </c>
      <c r="K250" s="70">
        <f>1.31*M250^0.699</f>
        <v>167.08968589699558</v>
      </c>
      <c r="L250" s="79" t="s">
        <v>120</v>
      </c>
      <c r="M250" s="80">
        <f>'物質収支（いしかわモデル） 【例】'!X84</f>
        <v>1029</v>
      </c>
      <c r="N250" s="1221" t="s">
        <v>433</v>
      </c>
      <c r="O250" s="81">
        <f>+③基本情報入力【例】!$Y$61</f>
        <v>0.1</v>
      </c>
      <c r="P250" s="82">
        <f>+③基本情報入力【例】!$AB$61</f>
        <v>2.3E-2</v>
      </c>
      <c r="Q250" s="83">
        <f>+③基本情報入力【例】!$AE$61</f>
        <v>20</v>
      </c>
      <c r="R250" s="72" t="s">
        <v>443</v>
      </c>
    </row>
    <row r="251" spans="2:18" ht="16.5" hidden="1" thickBot="1">
      <c r="B251" s="1417"/>
      <c r="C251" s="1419"/>
      <c r="D251" s="1221"/>
      <c r="E251" s="393">
        <v>0</v>
      </c>
      <c r="F251" s="78" t="s">
        <v>4</v>
      </c>
      <c r="G251" s="79" t="s">
        <v>11</v>
      </c>
      <c r="H251" s="79" t="s">
        <v>428</v>
      </c>
      <c r="I251" s="80">
        <f>K251*(1-O251)*(P251+P251/((P251+1)^Q251-1))</f>
        <v>2.6337976395279425</v>
      </c>
      <c r="J251" s="72" t="s">
        <v>124</v>
      </c>
      <c r="K251" s="70">
        <f>0.201*M251^0.751</f>
        <v>36.772233050157574</v>
      </c>
      <c r="L251" s="79" t="s">
        <v>120</v>
      </c>
      <c r="M251" s="80">
        <f>'物質収支（いしかわモデル） 【例】'!X84</f>
        <v>1029</v>
      </c>
      <c r="N251" s="1221"/>
      <c r="O251" s="91">
        <f>+③基本情報入力【例】!$Y$62</f>
        <v>0.1</v>
      </c>
      <c r="P251" s="92">
        <f>+③基本情報入力【例】!$AB$62</f>
        <v>2.3E-2</v>
      </c>
      <c r="Q251" s="93">
        <f>+③基本情報入力【例】!$AE$62</f>
        <v>15</v>
      </c>
      <c r="R251" s="72" t="s">
        <v>434</v>
      </c>
    </row>
    <row r="252" spans="2:18" hidden="1">
      <c r="B252" s="1418"/>
      <c r="C252" s="1434" t="s">
        <v>259</v>
      </c>
      <c r="D252" s="1434"/>
      <c r="E252" s="1434"/>
      <c r="F252" s="1434"/>
      <c r="G252" s="1434"/>
      <c r="H252" s="1434"/>
      <c r="I252" s="109">
        <f>SUM(I250:I251)</f>
        <v>12.098987210952671</v>
      </c>
      <c r="J252" s="110" t="s">
        <v>124</v>
      </c>
      <c r="K252" s="111">
        <f>SUM(K250:K251)</f>
        <v>203.86191894715316</v>
      </c>
      <c r="L252" s="112" t="s">
        <v>120</v>
      </c>
      <c r="M252" s="113"/>
      <c r="N252" s="382"/>
      <c r="O252" s="99"/>
      <c r="P252" s="100"/>
      <c r="Q252" s="101"/>
      <c r="R252" s="101"/>
    </row>
    <row r="253" spans="2:18" hidden="1">
      <c r="B253" s="381" t="s">
        <v>260</v>
      </c>
      <c r="C253" s="380" t="s">
        <v>231</v>
      </c>
      <c r="D253" s="380" t="s">
        <v>232</v>
      </c>
      <c r="E253" s="380" t="s">
        <v>233</v>
      </c>
      <c r="F253" s="380" t="s">
        <v>273</v>
      </c>
      <c r="G253" s="1432" t="s">
        <v>235</v>
      </c>
      <c r="H253" s="1432"/>
      <c r="I253" s="1432" t="s">
        <v>237</v>
      </c>
      <c r="J253" s="1432"/>
      <c r="K253" s="1433" t="s">
        <v>291</v>
      </c>
      <c r="L253" s="1433"/>
      <c r="M253" s="1432" t="s">
        <v>97</v>
      </c>
      <c r="N253" s="1432"/>
      <c r="O253" s="1432"/>
      <c r="P253" s="1432"/>
      <c r="Q253" s="1432"/>
      <c r="R253" s="1432"/>
    </row>
    <row r="254" spans="2:18" ht="15.75" hidden="1">
      <c r="B254" s="1435"/>
      <c r="C254" s="384" t="s">
        <v>413</v>
      </c>
      <c r="D254" s="385"/>
      <c r="E254" s="167">
        <f>+③基本情報入力【例】!J199</f>
        <v>0</v>
      </c>
      <c r="F254" s="78" t="s">
        <v>13</v>
      </c>
      <c r="G254" s="79" t="s">
        <v>11</v>
      </c>
      <c r="H254" s="72" t="s">
        <v>432</v>
      </c>
      <c r="I254" s="80">
        <f>0.191*K254^0.717</f>
        <v>46.741385082316548</v>
      </c>
      <c r="J254" s="72" t="s">
        <v>124</v>
      </c>
      <c r="K254" s="80">
        <f>'物質収支（いしかわモデル） 【例】'!X87</f>
        <v>2145.2399999999998</v>
      </c>
      <c r="L254" s="385" t="s">
        <v>357</v>
      </c>
      <c r="M254" s="1217" t="s">
        <v>435</v>
      </c>
      <c r="N254" s="1218"/>
      <c r="O254" s="1218"/>
      <c r="P254" s="1218"/>
      <c r="Q254" s="1218"/>
      <c r="R254" s="1422"/>
    </row>
    <row r="255" spans="2:18" ht="14.25" hidden="1" thickTop="1">
      <c r="B255" s="1436"/>
      <c r="C255" s="1434" t="s">
        <v>259</v>
      </c>
      <c r="D255" s="1434"/>
      <c r="E255" s="1434"/>
      <c r="F255" s="1434"/>
      <c r="G255" s="1434"/>
      <c r="H255" s="1434"/>
      <c r="I255" s="109">
        <f>SUM(I254:I254)</f>
        <v>46.741385082316548</v>
      </c>
      <c r="J255" s="114" t="s">
        <v>124</v>
      </c>
      <c r="K255" s="95"/>
      <c r="L255" s="101"/>
      <c r="M255" s="1431"/>
      <c r="N255" s="1431"/>
      <c r="O255" s="1431"/>
      <c r="P255" s="1431"/>
      <c r="Q255" s="1431"/>
      <c r="R255" s="1431"/>
    </row>
  </sheetData>
  <mergeCells count="367">
    <mergeCell ref="M55:R55"/>
    <mergeCell ref="B254:B255"/>
    <mergeCell ref="M254:R254"/>
    <mergeCell ref="C255:H255"/>
    <mergeCell ref="M255:R255"/>
    <mergeCell ref="B250:B252"/>
    <mergeCell ref="C250:C251"/>
    <mergeCell ref="D250:D251"/>
    <mergeCell ref="N250:N251"/>
    <mergeCell ref="C252:H252"/>
    <mergeCell ref="G253:H253"/>
    <mergeCell ref="I253:J253"/>
    <mergeCell ref="K253:L253"/>
    <mergeCell ref="M253:R253"/>
    <mergeCell ref="B246:B247"/>
    <mergeCell ref="M246:R246"/>
    <mergeCell ref="C247:H247"/>
    <mergeCell ref="M247:R247"/>
    <mergeCell ref="G249:H249"/>
    <mergeCell ref="I249:J249"/>
    <mergeCell ref="K249:L249"/>
    <mergeCell ref="M249:N249"/>
    <mergeCell ref="B242:B244"/>
    <mergeCell ref="C242:C243"/>
    <mergeCell ref="D242:D243"/>
    <mergeCell ref="N242:N243"/>
    <mergeCell ref="C244:H244"/>
    <mergeCell ref="G245:H245"/>
    <mergeCell ref="I245:J245"/>
    <mergeCell ref="K245:L245"/>
    <mergeCell ref="M245:R245"/>
    <mergeCell ref="B238:B239"/>
    <mergeCell ref="M238:R238"/>
    <mergeCell ref="C239:H239"/>
    <mergeCell ref="M239:R239"/>
    <mergeCell ref="G241:H241"/>
    <mergeCell ref="I241:J241"/>
    <mergeCell ref="K241:L241"/>
    <mergeCell ref="M241:N241"/>
    <mergeCell ref="B234:B236"/>
    <mergeCell ref="C234:C235"/>
    <mergeCell ref="D234:D235"/>
    <mergeCell ref="N234:N235"/>
    <mergeCell ref="C236:H236"/>
    <mergeCell ref="G237:H237"/>
    <mergeCell ref="I237:J237"/>
    <mergeCell ref="K237:L237"/>
    <mergeCell ref="M237:R237"/>
    <mergeCell ref="B203:C203"/>
    <mergeCell ref="I203:J203"/>
    <mergeCell ref="G233:H233"/>
    <mergeCell ref="I233:J233"/>
    <mergeCell ref="K233:L233"/>
    <mergeCell ref="M233:N233"/>
    <mergeCell ref="B200:C200"/>
    <mergeCell ref="I200:J200"/>
    <mergeCell ref="B201:C201"/>
    <mergeCell ref="I201:J201"/>
    <mergeCell ref="B202:C202"/>
    <mergeCell ref="I202:J202"/>
    <mergeCell ref="B197:C197"/>
    <mergeCell ref="I197:J197"/>
    <mergeCell ref="B198:C198"/>
    <mergeCell ref="I198:J198"/>
    <mergeCell ref="B199:C199"/>
    <mergeCell ref="I199:J199"/>
    <mergeCell ref="O185:R185"/>
    <mergeCell ref="D186:E186"/>
    <mergeCell ref="G186:H186"/>
    <mergeCell ref="O186:R186"/>
    <mergeCell ref="C187:H187"/>
    <mergeCell ref="B196:C196"/>
    <mergeCell ref="I196:J196"/>
    <mergeCell ref="D190:E190"/>
    <mergeCell ref="G190:H190"/>
    <mergeCell ref="I190:J190"/>
    <mergeCell ref="K190:L190"/>
    <mergeCell ref="M190:N190"/>
    <mergeCell ref="O190:R190"/>
    <mergeCell ref="D191:E191"/>
    <mergeCell ref="G191:H191"/>
    <mergeCell ref="O191:R191"/>
    <mergeCell ref="C192:H192"/>
    <mergeCell ref="C182:H182"/>
    <mergeCell ref="D185:E185"/>
    <mergeCell ref="G185:H185"/>
    <mergeCell ref="I185:J185"/>
    <mergeCell ref="K185:L185"/>
    <mergeCell ref="M185:N185"/>
    <mergeCell ref="D180:E180"/>
    <mergeCell ref="G180:H180"/>
    <mergeCell ref="O180:R180"/>
    <mergeCell ref="D181:E181"/>
    <mergeCell ref="G181:H181"/>
    <mergeCell ref="O181:R181"/>
    <mergeCell ref="D178:E178"/>
    <mergeCell ref="G178:H178"/>
    <mergeCell ref="O178:R178"/>
    <mergeCell ref="D179:E179"/>
    <mergeCell ref="G179:H179"/>
    <mergeCell ref="O179:R179"/>
    <mergeCell ref="D176:E176"/>
    <mergeCell ref="G176:H176"/>
    <mergeCell ref="O176:R176"/>
    <mergeCell ref="D177:E177"/>
    <mergeCell ref="G177:H177"/>
    <mergeCell ref="O177:R177"/>
    <mergeCell ref="O174:R174"/>
    <mergeCell ref="D175:E175"/>
    <mergeCell ref="G175:H175"/>
    <mergeCell ref="O175:R175"/>
    <mergeCell ref="D172:E172"/>
    <mergeCell ref="G172:H172"/>
    <mergeCell ref="O172:R172"/>
    <mergeCell ref="D173:E173"/>
    <mergeCell ref="G173:H173"/>
    <mergeCell ref="O173:R173"/>
    <mergeCell ref="B165:B182"/>
    <mergeCell ref="D165:E165"/>
    <mergeCell ref="G165:H165"/>
    <mergeCell ref="O165:R165"/>
    <mergeCell ref="D166:E166"/>
    <mergeCell ref="G166:H166"/>
    <mergeCell ref="O166:R166"/>
    <mergeCell ref="D167:E167"/>
    <mergeCell ref="G167:H167"/>
    <mergeCell ref="O167:R167"/>
    <mergeCell ref="D170:E170"/>
    <mergeCell ref="G170:H170"/>
    <mergeCell ref="O170:R170"/>
    <mergeCell ref="D171:E171"/>
    <mergeCell ref="G171:H171"/>
    <mergeCell ref="O171:R171"/>
    <mergeCell ref="D168:E168"/>
    <mergeCell ref="G168:H168"/>
    <mergeCell ref="O168:R168"/>
    <mergeCell ref="D169:E169"/>
    <mergeCell ref="G169:H169"/>
    <mergeCell ref="O169:R169"/>
    <mergeCell ref="D174:E174"/>
    <mergeCell ref="G174:H174"/>
    <mergeCell ref="D164:E164"/>
    <mergeCell ref="G164:H164"/>
    <mergeCell ref="I164:J164"/>
    <mergeCell ref="K164:L164"/>
    <mergeCell ref="M164:N164"/>
    <mergeCell ref="O164:R164"/>
    <mergeCell ref="G159:H159"/>
    <mergeCell ref="I159:J159"/>
    <mergeCell ref="K159:L159"/>
    <mergeCell ref="M159:R159"/>
    <mergeCell ref="B151:B152"/>
    <mergeCell ref="C152:H152"/>
    <mergeCell ref="B143:B146"/>
    <mergeCell ref="M143:R143"/>
    <mergeCell ref="M144:R144"/>
    <mergeCell ref="M145:R145"/>
    <mergeCell ref="C146:H146"/>
    <mergeCell ref="M146:R146"/>
    <mergeCell ref="B160:B161"/>
    <mergeCell ref="M160:R160"/>
    <mergeCell ref="C161:H161"/>
    <mergeCell ref="I155:J155"/>
    <mergeCell ref="K155:L155"/>
    <mergeCell ref="M155:N155"/>
    <mergeCell ref="B156:B158"/>
    <mergeCell ref="C156:C157"/>
    <mergeCell ref="D156:D157"/>
    <mergeCell ref="G156:G157"/>
    <mergeCell ref="H156:H157"/>
    <mergeCell ref="C158:H158"/>
    <mergeCell ref="G142:H142"/>
    <mergeCell ref="I142:J142"/>
    <mergeCell ref="K142:L142"/>
    <mergeCell ref="M142:R142"/>
    <mergeCell ref="G135:H135"/>
    <mergeCell ref="I135:J135"/>
    <mergeCell ref="K135:L135"/>
    <mergeCell ref="M135:N135"/>
    <mergeCell ref="G150:H150"/>
    <mergeCell ref="I150:J150"/>
    <mergeCell ref="K150:L150"/>
    <mergeCell ref="M150:N150"/>
    <mergeCell ref="G128:H128"/>
    <mergeCell ref="I128:J128"/>
    <mergeCell ref="K128:L128"/>
    <mergeCell ref="M128:R128"/>
    <mergeCell ref="G121:H121"/>
    <mergeCell ref="I121:J121"/>
    <mergeCell ref="K121:L121"/>
    <mergeCell ref="M121:N121"/>
    <mergeCell ref="B136:B141"/>
    <mergeCell ref="C136:C137"/>
    <mergeCell ref="D136:D137"/>
    <mergeCell ref="N136:N137"/>
    <mergeCell ref="C138:C139"/>
    <mergeCell ref="D138:D139"/>
    <mergeCell ref="B129:B132"/>
    <mergeCell ref="M129:R129"/>
    <mergeCell ref="M130:R130"/>
    <mergeCell ref="M131:R131"/>
    <mergeCell ref="C132:H132"/>
    <mergeCell ref="M132:R132"/>
    <mergeCell ref="N138:N139"/>
    <mergeCell ref="C141:H141"/>
    <mergeCell ref="M107:N107"/>
    <mergeCell ref="B122:B127"/>
    <mergeCell ref="C122:C123"/>
    <mergeCell ref="D122:D123"/>
    <mergeCell ref="N122:N123"/>
    <mergeCell ref="C124:C125"/>
    <mergeCell ref="D124:D125"/>
    <mergeCell ref="G114:H114"/>
    <mergeCell ref="I114:J114"/>
    <mergeCell ref="K114:L114"/>
    <mergeCell ref="M114:R114"/>
    <mergeCell ref="B115:B118"/>
    <mergeCell ref="M115:R115"/>
    <mergeCell ref="M116:R116"/>
    <mergeCell ref="M117:R117"/>
    <mergeCell ref="C118:H118"/>
    <mergeCell ref="N124:N125"/>
    <mergeCell ref="C127:H127"/>
    <mergeCell ref="G99:H99"/>
    <mergeCell ref="I99:J99"/>
    <mergeCell ref="K99:L99"/>
    <mergeCell ref="M99:R99"/>
    <mergeCell ref="G92:H92"/>
    <mergeCell ref="I92:J92"/>
    <mergeCell ref="K92:L92"/>
    <mergeCell ref="M92:N92"/>
    <mergeCell ref="B108:B113"/>
    <mergeCell ref="C108:C109"/>
    <mergeCell ref="D108:D109"/>
    <mergeCell ref="N108:N109"/>
    <mergeCell ref="C110:C111"/>
    <mergeCell ref="D110:D111"/>
    <mergeCell ref="N110:N111"/>
    <mergeCell ref="C113:H113"/>
    <mergeCell ref="B100:B103"/>
    <mergeCell ref="M100:R100"/>
    <mergeCell ref="M101:R101"/>
    <mergeCell ref="M102:R102"/>
    <mergeCell ref="C103:H103"/>
    <mergeCell ref="G107:H107"/>
    <mergeCell ref="I107:J107"/>
    <mergeCell ref="K107:L107"/>
    <mergeCell ref="G85:H85"/>
    <mergeCell ref="I85:J85"/>
    <mergeCell ref="K85:L85"/>
    <mergeCell ref="M85:R85"/>
    <mergeCell ref="G78:H78"/>
    <mergeCell ref="I78:J78"/>
    <mergeCell ref="K78:L78"/>
    <mergeCell ref="M78:N78"/>
    <mergeCell ref="B93:B98"/>
    <mergeCell ref="C93:C94"/>
    <mergeCell ref="D93:D94"/>
    <mergeCell ref="N93:N94"/>
    <mergeCell ref="C95:C96"/>
    <mergeCell ref="D95:D96"/>
    <mergeCell ref="B86:B89"/>
    <mergeCell ref="M86:R86"/>
    <mergeCell ref="M87:R87"/>
    <mergeCell ref="M88:R88"/>
    <mergeCell ref="C89:H89"/>
    <mergeCell ref="M89:R89"/>
    <mergeCell ref="N95:N96"/>
    <mergeCell ref="C98:H98"/>
    <mergeCell ref="G70:H70"/>
    <mergeCell ref="I70:J70"/>
    <mergeCell ref="K70:L70"/>
    <mergeCell ref="M70:R70"/>
    <mergeCell ref="G63:H63"/>
    <mergeCell ref="I63:J63"/>
    <mergeCell ref="K63:L63"/>
    <mergeCell ref="M63:N63"/>
    <mergeCell ref="B79:B84"/>
    <mergeCell ref="C79:C80"/>
    <mergeCell ref="D79:D80"/>
    <mergeCell ref="N79:N80"/>
    <mergeCell ref="C81:C82"/>
    <mergeCell ref="D81:D82"/>
    <mergeCell ref="B71:B74"/>
    <mergeCell ref="M71:R71"/>
    <mergeCell ref="M72:R72"/>
    <mergeCell ref="M73:R73"/>
    <mergeCell ref="C74:H74"/>
    <mergeCell ref="M74:R74"/>
    <mergeCell ref="N81:N82"/>
    <mergeCell ref="C84:H84"/>
    <mergeCell ref="B64:B69"/>
    <mergeCell ref="C64:C65"/>
    <mergeCell ref="D64:D65"/>
    <mergeCell ref="N64:N65"/>
    <mergeCell ref="C66:C67"/>
    <mergeCell ref="D66:D67"/>
    <mergeCell ref="M57:R57"/>
    <mergeCell ref="M58:R58"/>
    <mergeCell ref="M59:R59"/>
    <mergeCell ref="C60:H60"/>
    <mergeCell ref="M60:R60"/>
    <mergeCell ref="C62:D62"/>
    <mergeCell ref="B39:B60"/>
    <mergeCell ref="C43:C44"/>
    <mergeCell ref="D43:D44"/>
    <mergeCell ref="N66:N67"/>
    <mergeCell ref="C69:H69"/>
    <mergeCell ref="M46:R46"/>
    <mergeCell ref="G38:H38"/>
    <mergeCell ref="I38:J38"/>
    <mergeCell ref="K38:L38"/>
    <mergeCell ref="M38:R38"/>
    <mergeCell ref="M39:R39"/>
    <mergeCell ref="M41:R41"/>
    <mergeCell ref="M42:R42"/>
    <mergeCell ref="C52:C53"/>
    <mergeCell ref="D52:D53"/>
    <mergeCell ref="E52:E53"/>
    <mergeCell ref="M52:N52"/>
    <mergeCell ref="Q52:R52"/>
    <mergeCell ref="M53:R53"/>
    <mergeCell ref="M47:R47"/>
    <mergeCell ref="M48:R48"/>
    <mergeCell ref="M49:P49"/>
    <mergeCell ref="Q49:R49"/>
    <mergeCell ref="C50:C51"/>
    <mergeCell ref="C3:D3"/>
    <mergeCell ref="G4:H4"/>
    <mergeCell ref="I4:J4"/>
    <mergeCell ref="K4:L4"/>
    <mergeCell ref="M4:N4"/>
    <mergeCell ref="D50:D51"/>
    <mergeCell ref="M50:N50"/>
    <mergeCell ref="Q50:R50"/>
    <mergeCell ref="M51:R51"/>
    <mergeCell ref="C22:C24"/>
    <mergeCell ref="D22:D24"/>
    <mergeCell ref="C25:C28"/>
    <mergeCell ref="D25:D28"/>
    <mergeCell ref="E43:E44"/>
    <mergeCell ref="M43:N43"/>
    <mergeCell ref="Q43:R43"/>
    <mergeCell ref="M44:R44"/>
    <mergeCell ref="M45:R45"/>
    <mergeCell ref="C39:C40"/>
    <mergeCell ref="B5:B37"/>
    <mergeCell ref="C5:C6"/>
    <mergeCell ref="D5:D6"/>
    <mergeCell ref="N5:N6"/>
    <mergeCell ref="C7:C8"/>
    <mergeCell ref="C29:C30"/>
    <mergeCell ref="D29:D30"/>
    <mergeCell ref="N29:N30"/>
    <mergeCell ref="C34:C36"/>
    <mergeCell ref="D34:D36"/>
    <mergeCell ref="C37:H37"/>
    <mergeCell ref="C18:C20"/>
    <mergeCell ref="D18:D20"/>
    <mergeCell ref="D7:D8"/>
    <mergeCell ref="N7:N8"/>
    <mergeCell ref="C10:C12"/>
    <mergeCell ref="D10:D12"/>
    <mergeCell ref="C13:C14"/>
    <mergeCell ref="D13:D14"/>
    <mergeCell ref="C15:C16"/>
    <mergeCell ref="D15:D16"/>
  </mergeCells>
  <phoneticPr fontId="2"/>
  <pageMargins left="0" right="0" top="0.74803149606299213" bottom="0" header="0.31496062992125984" footer="0.31496062992125984"/>
  <pageSetup paperSize="8" scale="61" orientation="portrait" r:id="rId1"/>
  <rowBreaks count="1" manualBreakCount="1">
    <brk id="120" min="1" max="17" man="1"/>
  </rowBreaks>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
  <sheetViews>
    <sheetView showGridLines="0" workbookViewId="0"/>
  </sheetViews>
  <sheetFormatPr defaultRowHeight="13.5"/>
  <cols>
    <col min="1" max="1" width="3.625" customWidth="1"/>
  </cols>
  <sheetData/>
  <phoneticPr fontId="2"/>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2:BU99"/>
  <sheetViews>
    <sheetView showGridLines="0" topLeftCell="A52" workbookViewId="0">
      <selection activeCell="AY90" sqref="AY90"/>
    </sheetView>
  </sheetViews>
  <sheetFormatPr defaultRowHeight="15.95" customHeight="1"/>
  <cols>
    <col min="1" max="177" width="3.625" style="264" customWidth="1"/>
    <col min="178" max="16384" width="9" style="264"/>
  </cols>
  <sheetData>
    <row r="2" spans="2:73" ht="15.95" customHeight="1">
      <c r="B2" s="264" t="s">
        <v>577</v>
      </c>
    </row>
    <row r="4" spans="2:73" ht="15.95" customHeight="1">
      <c r="B4" s="887" t="s">
        <v>539</v>
      </c>
      <c r="C4" s="888"/>
      <c r="D4" s="889"/>
      <c r="E4" s="414" t="s">
        <v>536</v>
      </c>
      <c r="F4" s="264" t="s">
        <v>538</v>
      </c>
    </row>
    <row r="6" spans="2:73" ht="15.95" customHeight="1">
      <c r="B6" s="890" t="s">
        <v>537</v>
      </c>
      <c r="C6" s="891"/>
      <c r="D6" s="892"/>
      <c r="E6" s="414" t="s">
        <v>536</v>
      </c>
      <c r="F6" s="264" t="s">
        <v>546</v>
      </c>
    </row>
    <row r="7" spans="2:73" ht="15.95" customHeight="1">
      <c r="F7" s="264" t="s">
        <v>540</v>
      </c>
    </row>
    <row r="9" spans="2:73" ht="15.95" customHeight="1" thickBot="1">
      <c r="B9" s="893" t="s">
        <v>339</v>
      </c>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3"/>
      <c r="BJ9" s="893"/>
      <c r="BK9" s="893"/>
    </row>
    <row r="10" spans="2:73" ht="15.95" customHeight="1" thickBot="1">
      <c r="B10" s="894" t="s">
        <v>23</v>
      </c>
      <c r="C10" s="895"/>
      <c r="D10" s="895"/>
      <c r="E10" s="895"/>
      <c r="F10" s="895"/>
      <c r="G10" s="895"/>
      <c r="H10" s="896"/>
      <c r="I10" s="897" t="s">
        <v>24</v>
      </c>
      <c r="J10" s="897"/>
      <c r="K10" s="897"/>
      <c r="L10" s="898" t="s">
        <v>459</v>
      </c>
      <c r="M10" s="895"/>
      <c r="N10" s="895"/>
      <c r="O10" s="895"/>
      <c r="P10" s="895"/>
      <c r="Q10" s="895"/>
      <c r="R10" s="895"/>
      <c r="S10" s="895"/>
      <c r="T10" s="895"/>
      <c r="U10" s="896"/>
      <c r="V10" s="897" t="s">
        <v>114</v>
      </c>
      <c r="W10" s="897"/>
      <c r="X10" s="897"/>
      <c r="Y10" s="897"/>
      <c r="Z10" s="897"/>
      <c r="AA10" s="897" t="s">
        <v>115</v>
      </c>
      <c r="AB10" s="897"/>
      <c r="AC10" s="897"/>
      <c r="AD10" s="897"/>
      <c r="AE10" s="897"/>
      <c r="AF10" s="897" t="s">
        <v>116</v>
      </c>
      <c r="AG10" s="897"/>
      <c r="AH10" s="897"/>
      <c r="AI10" s="897"/>
      <c r="AJ10" s="897"/>
      <c r="AK10" s="897" t="s">
        <v>117</v>
      </c>
      <c r="AL10" s="897"/>
      <c r="AM10" s="897"/>
      <c r="AN10" s="897"/>
      <c r="AO10" s="897"/>
      <c r="AP10" s="898" t="s">
        <v>319</v>
      </c>
      <c r="AQ10" s="895"/>
      <c r="AR10" s="895"/>
      <c r="AS10" s="895"/>
      <c r="AT10" s="896"/>
      <c r="AU10" s="897" t="s">
        <v>320</v>
      </c>
      <c r="AV10" s="897"/>
      <c r="AW10" s="897"/>
      <c r="AX10" s="897"/>
      <c r="AY10" s="897"/>
      <c r="AZ10" s="898" t="s">
        <v>25</v>
      </c>
      <c r="BA10" s="895"/>
      <c r="BB10" s="895"/>
      <c r="BC10" s="895"/>
      <c r="BD10" s="895"/>
      <c r="BE10" s="895"/>
      <c r="BF10" s="895"/>
      <c r="BG10" s="895"/>
      <c r="BH10" s="895"/>
      <c r="BI10" s="895"/>
      <c r="BJ10" s="895"/>
      <c r="BK10" s="899"/>
      <c r="BL10" s="474"/>
      <c r="BM10" s="474"/>
      <c r="BN10" s="474"/>
      <c r="BO10" s="435"/>
      <c r="BP10" s="475"/>
      <c r="BQ10" s="435"/>
      <c r="BR10" s="435"/>
      <c r="BS10" s="435"/>
      <c r="BT10" s="435"/>
      <c r="BU10" s="435"/>
    </row>
    <row r="11" spans="2:73" ht="15.95" customHeight="1">
      <c r="B11" s="900" t="s">
        <v>445</v>
      </c>
      <c r="C11" s="902" t="s">
        <v>275</v>
      </c>
      <c r="D11" s="902"/>
      <c r="E11" s="902"/>
      <c r="F11" s="902"/>
      <c r="G11" s="902"/>
      <c r="H11" s="902"/>
      <c r="I11" s="903"/>
      <c r="J11" s="903"/>
      <c r="K11" s="903"/>
      <c r="L11" s="904" t="s">
        <v>549</v>
      </c>
      <c r="M11" s="905"/>
      <c r="N11" s="905"/>
      <c r="O11" s="905"/>
      <c r="P11" s="905"/>
      <c r="Q11" s="905"/>
      <c r="R11" s="905"/>
      <c r="S11" s="905"/>
      <c r="T11" s="905"/>
      <c r="U11" s="906"/>
      <c r="V11" s="904" t="s">
        <v>550</v>
      </c>
      <c r="W11" s="905"/>
      <c r="X11" s="905"/>
      <c r="Y11" s="905"/>
      <c r="Z11" s="906"/>
      <c r="AA11" s="904" t="s">
        <v>550</v>
      </c>
      <c r="AB11" s="905"/>
      <c r="AC11" s="905"/>
      <c r="AD11" s="905"/>
      <c r="AE11" s="906"/>
      <c r="AF11" s="904" t="s">
        <v>551</v>
      </c>
      <c r="AG11" s="905"/>
      <c r="AH11" s="905"/>
      <c r="AI11" s="905"/>
      <c r="AJ11" s="906"/>
      <c r="AK11" s="904" t="s">
        <v>551</v>
      </c>
      <c r="AL11" s="905"/>
      <c r="AM11" s="905"/>
      <c r="AN11" s="905"/>
      <c r="AO11" s="906"/>
      <c r="AP11" s="904" t="s">
        <v>551</v>
      </c>
      <c r="AQ11" s="905"/>
      <c r="AR11" s="905"/>
      <c r="AS11" s="905"/>
      <c r="AT11" s="906"/>
      <c r="AU11" s="910" t="s">
        <v>552</v>
      </c>
      <c r="AV11" s="911"/>
      <c r="AW11" s="911"/>
      <c r="AX11" s="911"/>
      <c r="AY11" s="912"/>
      <c r="AZ11" s="913" t="s">
        <v>482</v>
      </c>
      <c r="BA11" s="914"/>
      <c r="BB11" s="914"/>
      <c r="BC11" s="914"/>
      <c r="BD11" s="914"/>
      <c r="BE11" s="914"/>
      <c r="BF11" s="914"/>
      <c r="BG11" s="914"/>
      <c r="BH11" s="914"/>
      <c r="BI11" s="914"/>
      <c r="BJ11" s="914"/>
      <c r="BK11" s="915"/>
      <c r="BL11" s="332"/>
      <c r="BM11" s="332"/>
      <c r="BN11" s="332"/>
      <c r="BO11" s="435"/>
      <c r="BP11" s="435"/>
      <c r="BQ11" s="435"/>
      <c r="BR11" s="435"/>
      <c r="BS11" s="435"/>
      <c r="BT11" s="435"/>
      <c r="BU11" s="435"/>
    </row>
    <row r="12" spans="2:73" ht="15.95" customHeight="1">
      <c r="B12" s="900"/>
      <c r="C12" s="908" t="s">
        <v>458</v>
      </c>
      <c r="D12" s="908"/>
      <c r="E12" s="908"/>
      <c r="F12" s="908"/>
      <c r="G12" s="908"/>
      <c r="H12" s="908"/>
      <c r="I12" s="922" t="s">
        <v>217</v>
      </c>
      <c r="J12" s="922"/>
      <c r="K12" s="922"/>
      <c r="L12" s="923" t="s">
        <v>553</v>
      </c>
      <c r="M12" s="923"/>
      <c r="N12" s="923"/>
      <c r="O12" s="923"/>
      <c r="P12" s="923"/>
      <c r="Q12" s="923"/>
      <c r="R12" s="923"/>
      <c r="S12" s="923"/>
      <c r="T12" s="923"/>
      <c r="U12" s="923"/>
      <c r="V12" s="923" t="s">
        <v>554</v>
      </c>
      <c r="W12" s="923"/>
      <c r="X12" s="923"/>
      <c r="Y12" s="923"/>
      <c r="Z12" s="923"/>
      <c r="AA12" s="923" t="s">
        <v>555</v>
      </c>
      <c r="AB12" s="923"/>
      <c r="AC12" s="923"/>
      <c r="AD12" s="923"/>
      <c r="AE12" s="923"/>
      <c r="AF12" s="924" t="s">
        <v>556</v>
      </c>
      <c r="AG12" s="925"/>
      <c r="AH12" s="925"/>
      <c r="AI12" s="925"/>
      <c r="AJ12" s="926"/>
      <c r="AK12" s="923" t="s">
        <v>557</v>
      </c>
      <c r="AL12" s="923"/>
      <c r="AM12" s="923"/>
      <c r="AN12" s="923"/>
      <c r="AO12" s="923"/>
      <c r="AP12" s="923" t="s">
        <v>558</v>
      </c>
      <c r="AQ12" s="923"/>
      <c r="AR12" s="923"/>
      <c r="AS12" s="923"/>
      <c r="AT12" s="923"/>
      <c r="AU12" s="924" t="s">
        <v>559</v>
      </c>
      <c r="AV12" s="925"/>
      <c r="AW12" s="925"/>
      <c r="AX12" s="925"/>
      <c r="AY12" s="926"/>
      <c r="AZ12" s="916"/>
      <c r="BA12" s="917"/>
      <c r="BB12" s="917"/>
      <c r="BC12" s="917"/>
      <c r="BD12" s="917"/>
      <c r="BE12" s="917"/>
      <c r="BF12" s="917"/>
      <c r="BG12" s="917"/>
      <c r="BH12" s="917"/>
      <c r="BI12" s="917"/>
      <c r="BJ12" s="917"/>
      <c r="BK12" s="918"/>
      <c r="BL12" s="332"/>
      <c r="BM12" s="332"/>
      <c r="BN12" s="332"/>
      <c r="BO12" s="930"/>
      <c r="BP12" s="930"/>
      <c r="BQ12" s="930"/>
      <c r="BR12" s="435"/>
      <c r="BS12" s="435"/>
      <c r="BT12" s="435"/>
      <c r="BU12" s="435"/>
    </row>
    <row r="13" spans="2:73" ht="15.95" customHeight="1">
      <c r="B13" s="900"/>
      <c r="C13" s="908" t="s">
        <v>158</v>
      </c>
      <c r="D13" s="908"/>
      <c r="E13" s="908"/>
      <c r="F13" s="908"/>
      <c r="G13" s="908"/>
      <c r="H13" s="908"/>
      <c r="I13" s="909" t="s">
        <v>148</v>
      </c>
      <c r="J13" s="909"/>
      <c r="K13" s="909"/>
      <c r="L13" s="922" t="s">
        <v>196</v>
      </c>
      <c r="M13" s="922"/>
      <c r="N13" s="922"/>
      <c r="O13" s="922"/>
      <c r="P13" s="922"/>
      <c r="Q13" s="922" t="s">
        <v>279</v>
      </c>
      <c r="R13" s="922"/>
      <c r="S13" s="922"/>
      <c r="T13" s="922"/>
      <c r="U13" s="922"/>
      <c r="V13" s="931" t="s">
        <v>279</v>
      </c>
      <c r="W13" s="931"/>
      <c r="X13" s="931"/>
      <c r="Y13" s="931"/>
      <c r="Z13" s="931"/>
      <c r="AA13" s="931" t="s">
        <v>279</v>
      </c>
      <c r="AB13" s="931"/>
      <c r="AC13" s="931"/>
      <c r="AD13" s="931"/>
      <c r="AE13" s="931"/>
      <c r="AF13" s="931" t="s">
        <v>279</v>
      </c>
      <c r="AG13" s="931"/>
      <c r="AH13" s="931"/>
      <c r="AI13" s="931"/>
      <c r="AJ13" s="931"/>
      <c r="AK13" s="931" t="s">
        <v>196</v>
      </c>
      <c r="AL13" s="931"/>
      <c r="AM13" s="931"/>
      <c r="AN13" s="931"/>
      <c r="AO13" s="931"/>
      <c r="AP13" s="931" t="s">
        <v>279</v>
      </c>
      <c r="AQ13" s="931"/>
      <c r="AR13" s="931"/>
      <c r="AS13" s="931"/>
      <c r="AT13" s="931"/>
      <c r="AU13" s="931" t="s">
        <v>196</v>
      </c>
      <c r="AV13" s="931"/>
      <c r="AW13" s="931"/>
      <c r="AX13" s="931"/>
      <c r="AY13" s="931"/>
      <c r="AZ13" s="916"/>
      <c r="BA13" s="917"/>
      <c r="BB13" s="917"/>
      <c r="BC13" s="917"/>
      <c r="BD13" s="917"/>
      <c r="BE13" s="917"/>
      <c r="BF13" s="917"/>
      <c r="BG13" s="917"/>
      <c r="BH13" s="917"/>
      <c r="BI13" s="917"/>
      <c r="BJ13" s="917"/>
      <c r="BK13" s="918"/>
      <c r="BL13" s="332"/>
      <c r="BM13" s="332"/>
      <c r="BN13" s="332"/>
      <c r="BO13" s="435"/>
      <c r="BP13" s="435"/>
      <c r="BQ13" s="435"/>
      <c r="BR13" s="435"/>
      <c r="BS13" s="435"/>
      <c r="BT13" s="435"/>
      <c r="BU13" s="435"/>
    </row>
    <row r="14" spans="2:73" ht="15.95" customHeight="1">
      <c r="B14" s="900"/>
      <c r="C14" s="908" t="s">
        <v>332</v>
      </c>
      <c r="D14" s="908"/>
      <c r="E14" s="908"/>
      <c r="F14" s="908"/>
      <c r="G14" s="908"/>
      <c r="H14" s="908"/>
      <c r="I14" s="909" t="s">
        <v>329</v>
      </c>
      <c r="J14" s="909"/>
      <c r="K14" s="909"/>
      <c r="L14" s="907">
        <v>30</v>
      </c>
      <c r="M14" s="907"/>
      <c r="N14" s="907"/>
      <c r="O14" s="907"/>
      <c r="P14" s="907"/>
      <c r="Q14" s="907">
        <v>2.5</v>
      </c>
      <c r="R14" s="907"/>
      <c r="S14" s="907"/>
      <c r="T14" s="907"/>
      <c r="U14" s="907"/>
      <c r="V14" s="907">
        <v>1</v>
      </c>
      <c r="W14" s="907"/>
      <c r="X14" s="907"/>
      <c r="Y14" s="907"/>
      <c r="Z14" s="907"/>
      <c r="AA14" s="907">
        <v>0.7</v>
      </c>
      <c r="AB14" s="907"/>
      <c r="AC14" s="907"/>
      <c r="AD14" s="907"/>
      <c r="AE14" s="907"/>
      <c r="AF14" s="907">
        <v>0.5</v>
      </c>
      <c r="AG14" s="907"/>
      <c r="AH14" s="907"/>
      <c r="AI14" s="907"/>
      <c r="AJ14" s="907"/>
      <c r="AK14" s="907">
        <v>0.1</v>
      </c>
      <c r="AL14" s="907"/>
      <c r="AM14" s="907"/>
      <c r="AN14" s="907"/>
      <c r="AO14" s="907"/>
      <c r="AP14" s="907">
        <v>0.3</v>
      </c>
      <c r="AQ14" s="907"/>
      <c r="AR14" s="907"/>
      <c r="AS14" s="907"/>
      <c r="AT14" s="907"/>
      <c r="AU14" s="907">
        <v>0.5</v>
      </c>
      <c r="AV14" s="907"/>
      <c r="AW14" s="907"/>
      <c r="AX14" s="907"/>
      <c r="AY14" s="907"/>
      <c r="AZ14" s="916"/>
      <c r="BA14" s="917"/>
      <c r="BB14" s="917"/>
      <c r="BC14" s="917"/>
      <c r="BD14" s="917"/>
      <c r="BE14" s="917"/>
      <c r="BF14" s="917"/>
      <c r="BG14" s="917"/>
      <c r="BH14" s="917"/>
      <c r="BI14" s="917"/>
      <c r="BJ14" s="917"/>
      <c r="BK14" s="918"/>
      <c r="BL14" s="332"/>
      <c r="BM14" s="332"/>
      <c r="BN14" s="332"/>
      <c r="BO14" s="435"/>
      <c r="BP14" s="435"/>
      <c r="BQ14" s="435"/>
      <c r="BR14" s="435"/>
      <c r="BS14" s="435"/>
      <c r="BT14" s="435"/>
      <c r="BU14" s="435"/>
    </row>
    <row r="15" spans="2:73" ht="15.95" customHeight="1">
      <c r="B15" s="900"/>
      <c r="C15" s="927" t="s">
        <v>475</v>
      </c>
      <c r="D15" s="928"/>
      <c r="E15" s="928"/>
      <c r="F15" s="928"/>
      <c r="G15" s="928"/>
      <c r="H15" s="929"/>
      <c r="I15" s="909" t="s">
        <v>148</v>
      </c>
      <c r="J15" s="909"/>
      <c r="K15" s="909"/>
      <c r="L15" s="907">
        <v>1.2</v>
      </c>
      <c r="M15" s="907"/>
      <c r="N15" s="907"/>
      <c r="O15" s="907"/>
      <c r="P15" s="907"/>
      <c r="Q15" s="907">
        <v>1.2</v>
      </c>
      <c r="R15" s="907"/>
      <c r="S15" s="907"/>
      <c r="T15" s="907"/>
      <c r="U15" s="907"/>
      <c r="V15" s="907">
        <v>1.2</v>
      </c>
      <c r="W15" s="907"/>
      <c r="X15" s="907"/>
      <c r="Y15" s="907"/>
      <c r="Z15" s="907"/>
      <c r="AA15" s="907">
        <v>1.2</v>
      </c>
      <c r="AB15" s="907"/>
      <c r="AC15" s="907"/>
      <c r="AD15" s="907"/>
      <c r="AE15" s="907"/>
      <c r="AF15" s="907">
        <v>1.2</v>
      </c>
      <c r="AG15" s="907"/>
      <c r="AH15" s="907"/>
      <c r="AI15" s="907"/>
      <c r="AJ15" s="907"/>
      <c r="AK15" s="907">
        <v>1.2</v>
      </c>
      <c r="AL15" s="907"/>
      <c r="AM15" s="907"/>
      <c r="AN15" s="907"/>
      <c r="AO15" s="907"/>
      <c r="AP15" s="907">
        <v>1.2</v>
      </c>
      <c r="AQ15" s="907"/>
      <c r="AR15" s="907"/>
      <c r="AS15" s="907"/>
      <c r="AT15" s="907"/>
      <c r="AU15" s="907">
        <v>1.2</v>
      </c>
      <c r="AV15" s="907"/>
      <c r="AW15" s="907"/>
      <c r="AX15" s="907"/>
      <c r="AY15" s="907"/>
      <c r="AZ15" s="916"/>
      <c r="BA15" s="917"/>
      <c r="BB15" s="917"/>
      <c r="BC15" s="917"/>
      <c r="BD15" s="917"/>
      <c r="BE15" s="917"/>
      <c r="BF15" s="917"/>
      <c r="BG15" s="917"/>
      <c r="BH15" s="917"/>
      <c r="BI15" s="917"/>
      <c r="BJ15" s="917"/>
      <c r="BK15" s="918"/>
      <c r="BL15" s="332"/>
      <c r="BM15" s="332"/>
      <c r="BN15" s="332"/>
      <c r="BO15" s="435"/>
      <c r="BP15" s="435"/>
      <c r="BQ15" s="435"/>
      <c r="BR15" s="435"/>
      <c r="BS15" s="435"/>
      <c r="BT15" s="435"/>
      <c r="BU15" s="435"/>
    </row>
    <row r="16" spans="2:73" ht="15.95" customHeight="1">
      <c r="B16" s="900"/>
      <c r="C16" s="932" t="s">
        <v>71</v>
      </c>
      <c r="D16" s="932"/>
      <c r="E16" s="932"/>
      <c r="F16" s="932"/>
      <c r="G16" s="932"/>
      <c r="H16" s="932"/>
      <c r="I16" s="909" t="s">
        <v>21</v>
      </c>
      <c r="J16" s="909"/>
      <c r="K16" s="909"/>
      <c r="L16" s="907">
        <v>0</v>
      </c>
      <c r="M16" s="907"/>
      <c r="N16" s="907"/>
      <c r="O16" s="907"/>
      <c r="P16" s="907"/>
      <c r="Q16" s="907">
        <v>0</v>
      </c>
      <c r="R16" s="907"/>
      <c r="S16" s="907"/>
      <c r="T16" s="907"/>
      <c r="U16" s="907"/>
      <c r="V16" s="907">
        <v>0</v>
      </c>
      <c r="W16" s="907"/>
      <c r="X16" s="907"/>
      <c r="Y16" s="907"/>
      <c r="Z16" s="907"/>
      <c r="AA16" s="907">
        <v>0</v>
      </c>
      <c r="AB16" s="907"/>
      <c r="AC16" s="907"/>
      <c r="AD16" s="907"/>
      <c r="AE16" s="907"/>
      <c r="AF16" s="907">
        <v>0</v>
      </c>
      <c r="AG16" s="907"/>
      <c r="AH16" s="907"/>
      <c r="AI16" s="907"/>
      <c r="AJ16" s="907"/>
      <c r="AK16" s="907">
        <v>0</v>
      </c>
      <c r="AL16" s="907"/>
      <c r="AM16" s="907"/>
      <c r="AN16" s="907"/>
      <c r="AO16" s="907"/>
      <c r="AP16" s="907">
        <v>0</v>
      </c>
      <c r="AQ16" s="907"/>
      <c r="AR16" s="907"/>
      <c r="AS16" s="907"/>
      <c r="AT16" s="907"/>
      <c r="AU16" s="907">
        <v>0</v>
      </c>
      <c r="AV16" s="907"/>
      <c r="AW16" s="907"/>
      <c r="AX16" s="907"/>
      <c r="AY16" s="907"/>
      <c r="AZ16" s="916"/>
      <c r="BA16" s="917"/>
      <c r="BB16" s="917"/>
      <c r="BC16" s="917"/>
      <c r="BD16" s="917"/>
      <c r="BE16" s="917"/>
      <c r="BF16" s="917"/>
      <c r="BG16" s="917"/>
      <c r="BH16" s="917"/>
      <c r="BI16" s="917"/>
      <c r="BJ16" s="917"/>
      <c r="BK16" s="918"/>
      <c r="BL16" s="332"/>
      <c r="BM16" s="332"/>
      <c r="BN16" s="332"/>
      <c r="BO16" s="435"/>
      <c r="BP16" s="435"/>
      <c r="BQ16" s="435"/>
      <c r="BR16" s="435"/>
      <c r="BS16" s="435"/>
      <c r="BT16" s="435"/>
      <c r="BU16" s="435"/>
    </row>
    <row r="17" spans="2:73" ht="15.95" customHeight="1">
      <c r="B17" s="900"/>
      <c r="C17" s="908" t="s">
        <v>160</v>
      </c>
      <c r="D17" s="908"/>
      <c r="E17" s="908"/>
      <c r="F17" s="908"/>
      <c r="G17" s="908"/>
      <c r="H17" s="908"/>
      <c r="I17" s="909" t="s">
        <v>20</v>
      </c>
      <c r="J17" s="909"/>
      <c r="K17" s="909"/>
      <c r="L17" s="907">
        <v>1.5</v>
      </c>
      <c r="M17" s="907"/>
      <c r="N17" s="907"/>
      <c r="O17" s="907"/>
      <c r="P17" s="907"/>
      <c r="Q17" s="907">
        <v>17</v>
      </c>
      <c r="R17" s="907"/>
      <c r="S17" s="907"/>
      <c r="T17" s="907"/>
      <c r="U17" s="907"/>
      <c r="V17" s="907">
        <v>16</v>
      </c>
      <c r="W17" s="907"/>
      <c r="X17" s="907"/>
      <c r="Y17" s="907"/>
      <c r="Z17" s="907"/>
      <c r="AA17" s="907">
        <v>16</v>
      </c>
      <c r="AB17" s="907"/>
      <c r="AC17" s="907"/>
      <c r="AD17" s="907"/>
      <c r="AE17" s="907"/>
      <c r="AF17" s="907">
        <v>17</v>
      </c>
      <c r="AG17" s="907"/>
      <c r="AH17" s="907"/>
      <c r="AI17" s="907"/>
      <c r="AJ17" s="907"/>
      <c r="AK17" s="907">
        <v>1.5</v>
      </c>
      <c r="AL17" s="907"/>
      <c r="AM17" s="907"/>
      <c r="AN17" s="907"/>
      <c r="AO17" s="907"/>
      <c r="AP17" s="907">
        <v>16</v>
      </c>
      <c r="AQ17" s="907"/>
      <c r="AR17" s="907"/>
      <c r="AS17" s="907"/>
      <c r="AT17" s="907"/>
      <c r="AU17" s="907">
        <v>1.1000000000000001</v>
      </c>
      <c r="AV17" s="907"/>
      <c r="AW17" s="907"/>
      <c r="AX17" s="907"/>
      <c r="AY17" s="907"/>
      <c r="AZ17" s="916"/>
      <c r="BA17" s="917"/>
      <c r="BB17" s="917"/>
      <c r="BC17" s="917"/>
      <c r="BD17" s="917"/>
      <c r="BE17" s="917"/>
      <c r="BF17" s="917"/>
      <c r="BG17" s="917"/>
      <c r="BH17" s="917"/>
      <c r="BI17" s="917"/>
      <c r="BJ17" s="917"/>
      <c r="BK17" s="918"/>
      <c r="BL17" s="332"/>
      <c r="BM17" s="332"/>
      <c r="BN17" s="332"/>
      <c r="BO17" s="435"/>
      <c r="BP17" s="435"/>
      <c r="BQ17" s="435"/>
      <c r="BR17" s="435"/>
      <c r="BS17" s="435"/>
      <c r="BT17" s="435"/>
      <c r="BU17" s="435"/>
    </row>
    <row r="18" spans="2:73" ht="15.95" customHeight="1">
      <c r="B18" s="900"/>
      <c r="C18" s="908" t="s">
        <v>161</v>
      </c>
      <c r="D18" s="908"/>
      <c r="E18" s="908"/>
      <c r="F18" s="908"/>
      <c r="G18" s="908"/>
      <c r="H18" s="908"/>
      <c r="I18" s="909" t="s">
        <v>27</v>
      </c>
      <c r="J18" s="909"/>
      <c r="K18" s="909"/>
      <c r="L18" s="907">
        <v>80.7</v>
      </c>
      <c r="M18" s="907"/>
      <c r="N18" s="907"/>
      <c r="O18" s="907"/>
      <c r="P18" s="907"/>
      <c r="Q18" s="907">
        <v>80.7</v>
      </c>
      <c r="R18" s="907"/>
      <c r="S18" s="907"/>
      <c r="T18" s="907"/>
      <c r="U18" s="907"/>
      <c r="V18" s="907">
        <v>80.7</v>
      </c>
      <c r="W18" s="907"/>
      <c r="X18" s="907"/>
      <c r="Y18" s="907"/>
      <c r="Z18" s="907"/>
      <c r="AA18" s="907">
        <v>80.7</v>
      </c>
      <c r="AB18" s="907"/>
      <c r="AC18" s="907"/>
      <c r="AD18" s="907"/>
      <c r="AE18" s="907"/>
      <c r="AF18" s="907">
        <v>80.7</v>
      </c>
      <c r="AG18" s="907"/>
      <c r="AH18" s="907"/>
      <c r="AI18" s="907"/>
      <c r="AJ18" s="907"/>
      <c r="AK18" s="907">
        <v>80.7</v>
      </c>
      <c r="AL18" s="907"/>
      <c r="AM18" s="907"/>
      <c r="AN18" s="907"/>
      <c r="AO18" s="907"/>
      <c r="AP18" s="907">
        <v>80.7</v>
      </c>
      <c r="AQ18" s="907"/>
      <c r="AR18" s="907"/>
      <c r="AS18" s="907"/>
      <c r="AT18" s="907"/>
      <c r="AU18" s="907">
        <v>80.7</v>
      </c>
      <c r="AV18" s="907"/>
      <c r="AW18" s="907"/>
      <c r="AX18" s="907"/>
      <c r="AY18" s="907"/>
      <c r="AZ18" s="916"/>
      <c r="BA18" s="917"/>
      <c r="BB18" s="917"/>
      <c r="BC18" s="917"/>
      <c r="BD18" s="917"/>
      <c r="BE18" s="917"/>
      <c r="BF18" s="917"/>
      <c r="BG18" s="917"/>
      <c r="BH18" s="917"/>
      <c r="BI18" s="917"/>
      <c r="BJ18" s="917"/>
      <c r="BK18" s="918"/>
      <c r="BL18" s="332"/>
      <c r="BM18" s="332"/>
      <c r="BN18" s="332"/>
      <c r="BO18" s="435"/>
      <c r="BP18" s="435"/>
      <c r="BQ18" s="435"/>
      <c r="BR18" s="435"/>
      <c r="BS18" s="435"/>
      <c r="BT18" s="435"/>
      <c r="BU18" s="435"/>
    </row>
    <row r="19" spans="2:73" ht="15.95" customHeight="1">
      <c r="B19" s="900"/>
      <c r="C19" s="932" t="s">
        <v>73</v>
      </c>
      <c r="D19" s="932"/>
      <c r="E19" s="932"/>
      <c r="F19" s="932"/>
      <c r="G19" s="932"/>
      <c r="H19" s="932"/>
      <c r="I19" s="909" t="s">
        <v>494</v>
      </c>
      <c r="J19" s="909"/>
      <c r="K19" s="909"/>
      <c r="L19" s="907">
        <v>30</v>
      </c>
      <c r="M19" s="907"/>
      <c r="N19" s="907"/>
      <c r="O19" s="907"/>
      <c r="P19" s="907"/>
      <c r="Q19" s="907">
        <v>30</v>
      </c>
      <c r="R19" s="907"/>
      <c r="S19" s="907"/>
      <c r="T19" s="907"/>
      <c r="U19" s="907"/>
      <c r="V19" s="907">
        <v>30</v>
      </c>
      <c r="W19" s="907"/>
      <c r="X19" s="907"/>
      <c r="Y19" s="907"/>
      <c r="Z19" s="907"/>
      <c r="AA19" s="907">
        <v>30</v>
      </c>
      <c r="AB19" s="907"/>
      <c r="AC19" s="907"/>
      <c r="AD19" s="907"/>
      <c r="AE19" s="907"/>
      <c r="AF19" s="907">
        <v>30</v>
      </c>
      <c r="AG19" s="907"/>
      <c r="AH19" s="907"/>
      <c r="AI19" s="907"/>
      <c r="AJ19" s="907"/>
      <c r="AK19" s="907">
        <v>30</v>
      </c>
      <c r="AL19" s="907"/>
      <c r="AM19" s="907"/>
      <c r="AN19" s="907"/>
      <c r="AO19" s="907"/>
      <c r="AP19" s="907">
        <v>30</v>
      </c>
      <c r="AQ19" s="907"/>
      <c r="AR19" s="907"/>
      <c r="AS19" s="907"/>
      <c r="AT19" s="907"/>
      <c r="AU19" s="907">
        <v>30</v>
      </c>
      <c r="AV19" s="907"/>
      <c r="AW19" s="907"/>
      <c r="AX19" s="907"/>
      <c r="AY19" s="907"/>
      <c r="AZ19" s="916"/>
      <c r="BA19" s="917"/>
      <c r="BB19" s="917"/>
      <c r="BC19" s="917"/>
      <c r="BD19" s="917"/>
      <c r="BE19" s="917"/>
      <c r="BF19" s="917"/>
      <c r="BG19" s="917"/>
      <c r="BH19" s="917"/>
      <c r="BI19" s="917"/>
      <c r="BJ19" s="917"/>
      <c r="BK19" s="918"/>
      <c r="BL19" s="332"/>
      <c r="BM19" s="332"/>
      <c r="BN19" s="332"/>
      <c r="BO19" s="435"/>
      <c r="BP19" s="435"/>
      <c r="BQ19" s="476"/>
      <c r="BR19" s="435"/>
      <c r="BS19" s="435"/>
      <c r="BT19" s="435"/>
      <c r="BU19" s="435"/>
    </row>
    <row r="20" spans="2:73" ht="15.95" customHeight="1" thickBot="1">
      <c r="B20" s="900"/>
      <c r="C20" s="933" t="s">
        <v>74</v>
      </c>
      <c r="D20" s="933"/>
      <c r="E20" s="933"/>
      <c r="F20" s="933"/>
      <c r="G20" s="933"/>
      <c r="H20" s="933"/>
      <c r="I20" s="934" t="s">
        <v>466</v>
      </c>
      <c r="J20" s="934"/>
      <c r="K20" s="934"/>
      <c r="L20" s="935">
        <v>0.55000000000000004</v>
      </c>
      <c r="M20" s="935"/>
      <c r="N20" s="935"/>
      <c r="O20" s="935"/>
      <c r="P20" s="935"/>
      <c r="Q20" s="935">
        <v>0.55000000000000004</v>
      </c>
      <c r="R20" s="935"/>
      <c r="S20" s="935"/>
      <c r="T20" s="935"/>
      <c r="U20" s="935"/>
      <c r="V20" s="935">
        <v>0.55000000000000004</v>
      </c>
      <c r="W20" s="935"/>
      <c r="X20" s="935"/>
      <c r="Y20" s="935"/>
      <c r="Z20" s="935"/>
      <c r="AA20" s="935">
        <v>0.55000000000000004</v>
      </c>
      <c r="AB20" s="935"/>
      <c r="AC20" s="935"/>
      <c r="AD20" s="935"/>
      <c r="AE20" s="935"/>
      <c r="AF20" s="935">
        <v>0.55000000000000004</v>
      </c>
      <c r="AG20" s="935"/>
      <c r="AH20" s="935"/>
      <c r="AI20" s="935"/>
      <c r="AJ20" s="935"/>
      <c r="AK20" s="935">
        <v>0.55000000000000004</v>
      </c>
      <c r="AL20" s="935"/>
      <c r="AM20" s="935"/>
      <c r="AN20" s="935"/>
      <c r="AO20" s="935"/>
      <c r="AP20" s="935">
        <v>0.55000000000000004</v>
      </c>
      <c r="AQ20" s="935"/>
      <c r="AR20" s="935"/>
      <c r="AS20" s="935"/>
      <c r="AT20" s="935"/>
      <c r="AU20" s="935">
        <v>0.55000000000000004</v>
      </c>
      <c r="AV20" s="935"/>
      <c r="AW20" s="935"/>
      <c r="AX20" s="935"/>
      <c r="AY20" s="935"/>
      <c r="AZ20" s="919"/>
      <c r="BA20" s="920"/>
      <c r="BB20" s="920"/>
      <c r="BC20" s="920"/>
      <c r="BD20" s="920"/>
      <c r="BE20" s="920"/>
      <c r="BF20" s="920"/>
      <c r="BG20" s="920"/>
      <c r="BH20" s="920"/>
      <c r="BI20" s="920"/>
      <c r="BJ20" s="920"/>
      <c r="BK20" s="921"/>
      <c r="BL20" s="332"/>
      <c r="BM20" s="332"/>
      <c r="BN20" s="332"/>
      <c r="BO20" s="435"/>
      <c r="BP20" s="435"/>
      <c r="BQ20" s="435"/>
      <c r="BR20" s="435"/>
      <c r="BS20" s="435"/>
      <c r="BT20" s="435"/>
      <c r="BU20" s="435"/>
    </row>
    <row r="21" spans="2:73" ht="15.95" customHeight="1">
      <c r="B21" s="900"/>
      <c r="C21" s="927" t="s">
        <v>219</v>
      </c>
      <c r="D21" s="928"/>
      <c r="E21" s="928"/>
      <c r="F21" s="928"/>
      <c r="G21" s="928"/>
      <c r="H21" s="929"/>
      <c r="I21" s="940" t="s">
        <v>467</v>
      </c>
      <c r="J21" s="941"/>
      <c r="K21" s="942"/>
      <c r="L21" s="943">
        <f>ROUND(Q14*365,2)</f>
        <v>912.5</v>
      </c>
      <c r="M21" s="944"/>
      <c r="N21" s="944"/>
      <c r="O21" s="944"/>
      <c r="P21" s="944"/>
      <c r="Q21" s="944"/>
      <c r="R21" s="944"/>
      <c r="S21" s="944"/>
      <c r="T21" s="944"/>
      <c r="U21" s="945"/>
      <c r="V21" s="943">
        <f>ROUND(V14*365,2)</f>
        <v>365</v>
      </c>
      <c r="W21" s="944"/>
      <c r="X21" s="944"/>
      <c r="Y21" s="944"/>
      <c r="Z21" s="945"/>
      <c r="AA21" s="943">
        <f>ROUND(AA14*365,2)</f>
        <v>255.5</v>
      </c>
      <c r="AB21" s="944"/>
      <c r="AC21" s="944"/>
      <c r="AD21" s="944"/>
      <c r="AE21" s="945"/>
      <c r="AF21" s="943">
        <f>ROUND(AF14*365,2)</f>
        <v>182.5</v>
      </c>
      <c r="AG21" s="944"/>
      <c r="AH21" s="944"/>
      <c r="AI21" s="944"/>
      <c r="AJ21" s="945"/>
      <c r="AK21" s="943">
        <f>ROUND(AK14*365,2)</f>
        <v>36.5</v>
      </c>
      <c r="AL21" s="944"/>
      <c r="AM21" s="944"/>
      <c r="AN21" s="944"/>
      <c r="AO21" s="945"/>
      <c r="AP21" s="943">
        <f>ROUND(AP14*365,2)</f>
        <v>109.5</v>
      </c>
      <c r="AQ21" s="944"/>
      <c r="AR21" s="944"/>
      <c r="AS21" s="944"/>
      <c r="AT21" s="945"/>
      <c r="AU21" s="943">
        <f t="shared" ref="AU21" si="0">ROUND(AU14*365,2)</f>
        <v>182.5</v>
      </c>
      <c r="AV21" s="944"/>
      <c r="AW21" s="944"/>
      <c r="AX21" s="944"/>
      <c r="AY21" s="945"/>
      <c r="AZ21" s="913" t="s">
        <v>473</v>
      </c>
      <c r="BA21" s="914"/>
      <c r="BB21" s="914"/>
      <c r="BC21" s="914"/>
      <c r="BD21" s="914"/>
      <c r="BE21" s="914"/>
      <c r="BF21" s="914"/>
      <c r="BG21" s="914"/>
      <c r="BH21" s="914"/>
      <c r="BI21" s="914"/>
      <c r="BJ21" s="914"/>
      <c r="BK21" s="915"/>
      <c r="BL21" s="332"/>
      <c r="BM21" s="332"/>
      <c r="BN21" s="332"/>
      <c r="BO21" s="435"/>
      <c r="BP21" s="435"/>
      <c r="BQ21" s="435"/>
      <c r="BR21" s="435"/>
      <c r="BS21" s="435"/>
      <c r="BT21" s="435"/>
      <c r="BU21" s="435"/>
    </row>
    <row r="22" spans="2:73" ht="15.95" customHeight="1">
      <c r="B22" s="900"/>
      <c r="C22" s="927" t="s">
        <v>208</v>
      </c>
      <c r="D22" s="928"/>
      <c r="E22" s="928"/>
      <c r="F22" s="928"/>
      <c r="G22" s="928"/>
      <c r="H22" s="929"/>
      <c r="I22" s="949" t="s">
        <v>578</v>
      </c>
      <c r="J22" s="950"/>
      <c r="K22" s="951"/>
      <c r="L22" s="922" t="s">
        <v>217</v>
      </c>
      <c r="M22" s="922"/>
      <c r="N22" s="922"/>
      <c r="O22" s="922"/>
      <c r="P22" s="922"/>
      <c r="Q22" s="952">
        <v>4.4000000000000004</v>
      </c>
      <c r="R22" s="931"/>
      <c r="S22" s="931"/>
      <c r="T22" s="931"/>
      <c r="U22" s="931"/>
      <c r="V22" s="953">
        <v>4.4000000000000004</v>
      </c>
      <c r="W22" s="888"/>
      <c r="X22" s="888"/>
      <c r="Y22" s="888"/>
      <c r="Z22" s="889"/>
      <c r="AA22" s="953">
        <v>4.4000000000000004</v>
      </c>
      <c r="AB22" s="888"/>
      <c r="AC22" s="888"/>
      <c r="AD22" s="888"/>
      <c r="AE22" s="889"/>
      <c r="AF22" s="953">
        <v>4.4000000000000004</v>
      </c>
      <c r="AG22" s="888"/>
      <c r="AH22" s="888"/>
      <c r="AI22" s="888"/>
      <c r="AJ22" s="889"/>
      <c r="AK22" s="953">
        <v>4.4000000000000004</v>
      </c>
      <c r="AL22" s="888"/>
      <c r="AM22" s="888"/>
      <c r="AN22" s="888"/>
      <c r="AO22" s="889"/>
      <c r="AP22" s="953">
        <v>4.4000000000000004</v>
      </c>
      <c r="AQ22" s="888"/>
      <c r="AR22" s="888"/>
      <c r="AS22" s="888"/>
      <c r="AT22" s="889"/>
      <c r="AU22" s="953">
        <v>6.9</v>
      </c>
      <c r="AV22" s="888"/>
      <c r="AW22" s="888"/>
      <c r="AX22" s="888"/>
      <c r="AY22" s="889"/>
      <c r="AZ22" s="916"/>
      <c r="BA22" s="917"/>
      <c r="BB22" s="917"/>
      <c r="BC22" s="917"/>
      <c r="BD22" s="917"/>
      <c r="BE22" s="917"/>
      <c r="BF22" s="917"/>
      <c r="BG22" s="917"/>
      <c r="BH22" s="917"/>
      <c r="BI22" s="917"/>
      <c r="BJ22" s="917"/>
      <c r="BK22" s="918"/>
      <c r="BL22" s="332"/>
      <c r="BM22" s="332"/>
      <c r="BN22" s="332"/>
      <c r="BO22" s="435"/>
      <c r="BP22" s="435"/>
      <c r="BQ22" s="435"/>
      <c r="BR22" s="435"/>
      <c r="BS22" s="435"/>
      <c r="BT22" s="435"/>
      <c r="BU22" s="435"/>
    </row>
    <row r="23" spans="2:73" ht="15.95" customHeight="1" thickBot="1">
      <c r="B23" s="901"/>
      <c r="C23" s="954" t="s">
        <v>446</v>
      </c>
      <c r="D23" s="955"/>
      <c r="E23" s="955"/>
      <c r="F23" s="955"/>
      <c r="G23" s="955"/>
      <c r="H23" s="956"/>
      <c r="I23" s="949" t="s">
        <v>578</v>
      </c>
      <c r="J23" s="950"/>
      <c r="K23" s="951"/>
      <c r="L23" s="957" t="s">
        <v>217</v>
      </c>
      <c r="M23" s="957"/>
      <c r="N23" s="957"/>
      <c r="O23" s="957"/>
      <c r="P23" s="957"/>
      <c r="Q23" s="958">
        <v>21.4</v>
      </c>
      <c r="R23" s="959"/>
      <c r="S23" s="959"/>
      <c r="T23" s="959"/>
      <c r="U23" s="959"/>
      <c r="V23" s="936">
        <v>21.4</v>
      </c>
      <c r="W23" s="937"/>
      <c r="X23" s="937"/>
      <c r="Y23" s="937"/>
      <c r="Z23" s="938"/>
      <c r="AA23" s="936">
        <v>21.4</v>
      </c>
      <c r="AB23" s="937"/>
      <c r="AC23" s="937"/>
      <c r="AD23" s="937"/>
      <c r="AE23" s="938"/>
      <c r="AF23" s="936">
        <v>21.4</v>
      </c>
      <c r="AG23" s="937"/>
      <c r="AH23" s="937"/>
      <c r="AI23" s="937"/>
      <c r="AJ23" s="938"/>
      <c r="AK23" s="936">
        <v>21.4</v>
      </c>
      <c r="AL23" s="937"/>
      <c r="AM23" s="937"/>
      <c r="AN23" s="937"/>
      <c r="AO23" s="938"/>
      <c r="AP23" s="936">
        <v>21.4</v>
      </c>
      <c r="AQ23" s="937"/>
      <c r="AR23" s="937"/>
      <c r="AS23" s="937"/>
      <c r="AT23" s="938"/>
      <c r="AU23" s="939"/>
      <c r="AV23" s="937"/>
      <c r="AW23" s="937"/>
      <c r="AX23" s="937"/>
      <c r="AY23" s="938"/>
      <c r="AZ23" s="919"/>
      <c r="BA23" s="920"/>
      <c r="BB23" s="920"/>
      <c r="BC23" s="920"/>
      <c r="BD23" s="920"/>
      <c r="BE23" s="920"/>
      <c r="BF23" s="920"/>
      <c r="BG23" s="920"/>
      <c r="BH23" s="920"/>
      <c r="BI23" s="920"/>
      <c r="BJ23" s="920"/>
      <c r="BK23" s="921"/>
      <c r="BL23" s="332"/>
      <c r="BM23" s="332"/>
      <c r="BN23" s="332"/>
      <c r="BO23" s="435"/>
      <c r="BP23" s="435"/>
      <c r="BQ23" s="435"/>
      <c r="BR23" s="435"/>
      <c r="BS23" s="435"/>
      <c r="BT23" s="435"/>
      <c r="BU23" s="435"/>
    </row>
    <row r="24" spans="2:73" ht="15.95" customHeight="1">
      <c r="B24" s="972" t="s">
        <v>533</v>
      </c>
      <c r="C24" s="946" t="s">
        <v>534</v>
      </c>
      <c r="D24" s="946"/>
      <c r="E24" s="946"/>
      <c r="F24" s="946"/>
      <c r="G24" s="946"/>
      <c r="H24" s="946"/>
      <c r="I24" s="947" t="s">
        <v>120</v>
      </c>
      <c r="J24" s="947"/>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960" t="s">
        <v>548</v>
      </c>
      <c r="BA24" s="961"/>
      <c r="BB24" s="961"/>
      <c r="BC24" s="961"/>
      <c r="BD24" s="961"/>
      <c r="BE24" s="961"/>
      <c r="BF24" s="961"/>
      <c r="BG24" s="961"/>
      <c r="BH24" s="961"/>
      <c r="BI24" s="961"/>
      <c r="BJ24" s="961"/>
      <c r="BK24" s="962"/>
      <c r="BL24" s="332"/>
      <c r="BM24" s="332"/>
      <c r="BN24" s="332"/>
      <c r="BO24" s="435"/>
      <c r="BP24" s="435"/>
      <c r="BQ24" s="435"/>
      <c r="BR24" s="435"/>
      <c r="BS24" s="435"/>
      <c r="BT24" s="435"/>
      <c r="BU24" s="435"/>
    </row>
    <row r="25" spans="2:73" ht="15.95" customHeight="1" thickBot="1">
      <c r="B25" s="973"/>
      <c r="C25" s="933" t="s">
        <v>264</v>
      </c>
      <c r="D25" s="933"/>
      <c r="E25" s="933"/>
      <c r="F25" s="933"/>
      <c r="G25" s="933"/>
      <c r="H25" s="933"/>
      <c r="I25" s="934" t="s">
        <v>124</v>
      </c>
      <c r="J25" s="934"/>
      <c r="K25" s="934"/>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6"/>
      <c r="AK25" s="966"/>
      <c r="AL25" s="966"/>
      <c r="AM25" s="966"/>
      <c r="AN25" s="966"/>
      <c r="AO25" s="966"/>
      <c r="AP25" s="966"/>
      <c r="AQ25" s="966"/>
      <c r="AR25" s="966"/>
      <c r="AS25" s="966"/>
      <c r="AT25" s="966"/>
      <c r="AU25" s="966"/>
      <c r="AV25" s="966"/>
      <c r="AW25" s="966"/>
      <c r="AX25" s="966"/>
      <c r="AY25" s="966"/>
      <c r="AZ25" s="963"/>
      <c r="BA25" s="964"/>
      <c r="BB25" s="964"/>
      <c r="BC25" s="964"/>
      <c r="BD25" s="964"/>
      <c r="BE25" s="964"/>
      <c r="BF25" s="964"/>
      <c r="BG25" s="964"/>
      <c r="BH25" s="964"/>
      <c r="BI25" s="964"/>
      <c r="BJ25" s="964"/>
      <c r="BK25" s="965"/>
      <c r="BL25" s="332"/>
      <c r="BM25" s="332"/>
      <c r="BN25" s="332"/>
      <c r="BO25" s="435"/>
      <c r="BP25" s="435"/>
      <c r="BQ25" s="435"/>
      <c r="BR25" s="435"/>
      <c r="BS25" s="435"/>
      <c r="BT25" s="435"/>
      <c r="BU25" s="435"/>
    </row>
    <row r="26" spans="2:73" ht="15.95" customHeight="1">
      <c r="BN26" s="435"/>
      <c r="BO26" s="435"/>
      <c r="BP26" s="435"/>
      <c r="BQ26" s="435"/>
      <c r="BR26" s="435"/>
      <c r="BS26" s="435"/>
      <c r="BT26" s="435"/>
      <c r="BU26" s="435"/>
    </row>
    <row r="27" spans="2:73" ht="15.95" customHeight="1" thickBot="1">
      <c r="B27" s="893" t="s">
        <v>338</v>
      </c>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93"/>
      <c r="BF27" s="893"/>
      <c r="BG27" s="893"/>
      <c r="BH27" s="893"/>
      <c r="BI27" s="893"/>
      <c r="BJ27" s="893"/>
      <c r="BK27" s="893"/>
      <c r="BN27" s="435"/>
      <c r="BO27" s="435"/>
      <c r="BP27" s="435"/>
      <c r="BQ27" s="435"/>
      <c r="BR27" s="435"/>
      <c r="BS27" s="435"/>
      <c r="BT27" s="435"/>
      <c r="BU27" s="435"/>
    </row>
    <row r="28" spans="2:73" ht="15.95" customHeight="1" thickBot="1">
      <c r="B28" s="894" t="s">
        <v>23</v>
      </c>
      <c r="C28" s="895"/>
      <c r="D28" s="895"/>
      <c r="E28" s="895"/>
      <c r="F28" s="895"/>
      <c r="G28" s="895"/>
      <c r="H28" s="896"/>
      <c r="I28" s="967" t="s">
        <v>24</v>
      </c>
      <c r="J28" s="967"/>
      <c r="K28" s="967"/>
      <c r="L28" s="967" t="s">
        <v>321</v>
      </c>
      <c r="M28" s="967"/>
      <c r="N28" s="967"/>
      <c r="O28" s="967"/>
      <c r="P28" s="967"/>
      <c r="Q28" s="967" t="s">
        <v>322</v>
      </c>
      <c r="R28" s="967"/>
      <c r="S28" s="967"/>
      <c r="T28" s="967"/>
      <c r="U28" s="967"/>
      <c r="V28" s="967" t="s">
        <v>323</v>
      </c>
      <c r="W28" s="967"/>
      <c r="X28" s="967"/>
      <c r="Y28" s="967"/>
      <c r="Z28" s="967"/>
      <c r="AA28" s="967" t="s">
        <v>324</v>
      </c>
      <c r="AB28" s="967"/>
      <c r="AC28" s="967"/>
      <c r="AD28" s="967"/>
      <c r="AE28" s="967"/>
      <c r="AF28" s="967" t="s">
        <v>325</v>
      </c>
      <c r="AG28" s="967"/>
      <c r="AH28" s="967"/>
      <c r="AI28" s="967"/>
      <c r="AJ28" s="967"/>
      <c r="AK28" s="967" t="s">
        <v>326</v>
      </c>
      <c r="AL28" s="967"/>
      <c r="AM28" s="967"/>
      <c r="AN28" s="967"/>
      <c r="AO28" s="967"/>
      <c r="AP28" s="968" t="s">
        <v>327</v>
      </c>
      <c r="AQ28" s="969"/>
      <c r="AR28" s="969"/>
      <c r="AS28" s="969"/>
      <c r="AT28" s="970"/>
      <c r="AU28" s="968" t="s">
        <v>337</v>
      </c>
      <c r="AV28" s="969"/>
      <c r="AW28" s="969"/>
      <c r="AX28" s="969"/>
      <c r="AY28" s="970"/>
      <c r="AZ28" s="968" t="s">
        <v>25</v>
      </c>
      <c r="BA28" s="969"/>
      <c r="BB28" s="969"/>
      <c r="BC28" s="969"/>
      <c r="BD28" s="969"/>
      <c r="BE28" s="969"/>
      <c r="BF28" s="969"/>
      <c r="BG28" s="969"/>
      <c r="BH28" s="969"/>
      <c r="BI28" s="969"/>
      <c r="BJ28" s="969"/>
      <c r="BK28" s="971"/>
      <c r="BN28" s="435"/>
      <c r="BO28" s="435"/>
      <c r="BP28" s="435"/>
      <c r="BQ28" s="435"/>
      <c r="BR28" s="435"/>
      <c r="BS28" s="435"/>
      <c r="BT28" s="435"/>
      <c r="BU28" s="435"/>
    </row>
    <row r="29" spans="2:73" ht="15.95" customHeight="1">
      <c r="B29" s="982" t="s">
        <v>444</v>
      </c>
      <c r="C29" s="903" t="s">
        <v>275</v>
      </c>
      <c r="D29" s="903"/>
      <c r="E29" s="903"/>
      <c r="F29" s="903"/>
      <c r="G29" s="903"/>
      <c r="H29" s="903"/>
      <c r="I29" s="983" t="s">
        <v>217</v>
      </c>
      <c r="J29" s="983"/>
      <c r="K29" s="983"/>
      <c r="L29" s="974" t="s">
        <v>560</v>
      </c>
      <c r="M29" s="974"/>
      <c r="N29" s="974"/>
      <c r="O29" s="974"/>
      <c r="P29" s="974"/>
      <c r="Q29" s="974" t="s">
        <v>560</v>
      </c>
      <c r="R29" s="974"/>
      <c r="S29" s="974"/>
      <c r="T29" s="974"/>
      <c r="U29" s="974"/>
      <c r="V29" s="974" t="s">
        <v>560</v>
      </c>
      <c r="W29" s="974"/>
      <c r="X29" s="974"/>
      <c r="Y29" s="974"/>
      <c r="Z29" s="974"/>
      <c r="AA29" s="974" t="s">
        <v>560</v>
      </c>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974"/>
      <c r="AY29" s="974"/>
      <c r="AZ29" s="913" t="s">
        <v>472</v>
      </c>
      <c r="BA29" s="914"/>
      <c r="BB29" s="914"/>
      <c r="BC29" s="914"/>
      <c r="BD29" s="914"/>
      <c r="BE29" s="914"/>
      <c r="BF29" s="914"/>
      <c r="BG29" s="914"/>
      <c r="BH29" s="914"/>
      <c r="BI29" s="914"/>
      <c r="BJ29" s="914"/>
      <c r="BK29" s="915"/>
      <c r="BN29" s="435"/>
      <c r="BO29" s="435"/>
      <c r="BP29" s="435"/>
      <c r="BQ29" s="435"/>
      <c r="BR29" s="435"/>
      <c r="BS29" s="435"/>
      <c r="BT29" s="435"/>
      <c r="BU29" s="435"/>
    </row>
    <row r="30" spans="2:73" ht="15.95" customHeight="1">
      <c r="B30" s="982"/>
      <c r="C30" s="909" t="s">
        <v>158</v>
      </c>
      <c r="D30" s="909"/>
      <c r="E30" s="909"/>
      <c r="F30" s="909"/>
      <c r="G30" s="909"/>
      <c r="H30" s="909"/>
      <c r="I30" s="909" t="s">
        <v>148</v>
      </c>
      <c r="J30" s="909"/>
      <c r="K30" s="909"/>
      <c r="L30" s="922" t="s">
        <v>40</v>
      </c>
      <c r="M30" s="922"/>
      <c r="N30" s="922"/>
      <c r="O30" s="922"/>
      <c r="P30" s="922"/>
      <c r="Q30" s="922" t="s">
        <v>159</v>
      </c>
      <c r="R30" s="922"/>
      <c r="S30" s="922"/>
      <c r="T30" s="922"/>
      <c r="U30" s="922"/>
      <c r="V30" s="909" t="s">
        <v>216</v>
      </c>
      <c r="W30" s="909"/>
      <c r="X30" s="909"/>
      <c r="Y30" s="909"/>
      <c r="Z30" s="909"/>
      <c r="AA30" s="922" t="s">
        <v>19</v>
      </c>
      <c r="AB30" s="922"/>
      <c r="AC30" s="922"/>
      <c r="AD30" s="922"/>
      <c r="AE30" s="922"/>
      <c r="AF30" s="931"/>
      <c r="AG30" s="931"/>
      <c r="AH30" s="931"/>
      <c r="AI30" s="931"/>
      <c r="AJ30" s="931"/>
      <c r="AK30" s="931"/>
      <c r="AL30" s="931"/>
      <c r="AM30" s="931"/>
      <c r="AN30" s="931"/>
      <c r="AO30" s="931"/>
      <c r="AP30" s="931"/>
      <c r="AQ30" s="931"/>
      <c r="AR30" s="931"/>
      <c r="AS30" s="931"/>
      <c r="AT30" s="931"/>
      <c r="AU30" s="931"/>
      <c r="AV30" s="931"/>
      <c r="AW30" s="931"/>
      <c r="AX30" s="931"/>
      <c r="AY30" s="931"/>
      <c r="AZ30" s="916"/>
      <c r="BA30" s="917"/>
      <c r="BB30" s="917"/>
      <c r="BC30" s="917"/>
      <c r="BD30" s="917"/>
      <c r="BE30" s="917"/>
      <c r="BF30" s="917"/>
      <c r="BG30" s="917"/>
      <c r="BH30" s="917"/>
      <c r="BI30" s="917"/>
      <c r="BJ30" s="917"/>
      <c r="BK30" s="918"/>
      <c r="BN30" s="435"/>
      <c r="BO30" s="435"/>
      <c r="BP30" s="435"/>
      <c r="BQ30" s="435"/>
      <c r="BR30" s="435"/>
      <c r="BS30" s="435"/>
      <c r="BT30" s="435"/>
      <c r="BU30" s="435"/>
    </row>
    <row r="31" spans="2:73" ht="15.95" customHeight="1">
      <c r="B31" s="982"/>
      <c r="C31" s="908" t="s">
        <v>332</v>
      </c>
      <c r="D31" s="908"/>
      <c r="E31" s="908"/>
      <c r="F31" s="908"/>
      <c r="G31" s="908"/>
      <c r="H31" s="908"/>
      <c r="I31" s="909" t="s">
        <v>468</v>
      </c>
      <c r="J31" s="909"/>
      <c r="K31" s="909"/>
      <c r="L31" s="907">
        <v>3</v>
      </c>
      <c r="M31" s="907"/>
      <c r="N31" s="907"/>
      <c r="O31" s="907"/>
      <c r="P31" s="907"/>
      <c r="Q31" s="907">
        <v>15</v>
      </c>
      <c r="R31" s="907"/>
      <c r="S31" s="907"/>
      <c r="T31" s="907"/>
      <c r="U31" s="907"/>
      <c r="V31" s="907">
        <v>5</v>
      </c>
      <c r="W31" s="907"/>
      <c r="X31" s="907"/>
      <c r="Y31" s="907"/>
      <c r="Z31" s="907"/>
      <c r="AA31" s="907">
        <v>4</v>
      </c>
      <c r="AB31" s="907"/>
      <c r="AC31" s="907"/>
      <c r="AD31" s="907"/>
      <c r="AE31" s="907"/>
      <c r="AF31" s="907"/>
      <c r="AG31" s="907"/>
      <c r="AH31" s="907"/>
      <c r="AI31" s="907"/>
      <c r="AJ31" s="907"/>
      <c r="AK31" s="907"/>
      <c r="AL31" s="907"/>
      <c r="AM31" s="907"/>
      <c r="AN31" s="907"/>
      <c r="AO31" s="907"/>
      <c r="AP31" s="907"/>
      <c r="AQ31" s="907"/>
      <c r="AR31" s="907"/>
      <c r="AS31" s="907"/>
      <c r="AT31" s="907"/>
      <c r="AU31" s="907"/>
      <c r="AV31" s="907"/>
      <c r="AW31" s="907"/>
      <c r="AX31" s="907"/>
      <c r="AY31" s="907"/>
      <c r="AZ31" s="916"/>
      <c r="BA31" s="917"/>
      <c r="BB31" s="917"/>
      <c r="BC31" s="917"/>
      <c r="BD31" s="917"/>
      <c r="BE31" s="917"/>
      <c r="BF31" s="917"/>
      <c r="BG31" s="917"/>
      <c r="BH31" s="917"/>
      <c r="BI31" s="917"/>
      <c r="BJ31" s="917"/>
      <c r="BK31" s="918"/>
      <c r="BN31" s="435"/>
      <c r="BO31" s="435"/>
      <c r="BP31" s="435"/>
      <c r="BQ31" s="435"/>
      <c r="BR31" s="435"/>
      <c r="BS31" s="435"/>
      <c r="BT31" s="435"/>
      <c r="BU31" s="435"/>
    </row>
    <row r="32" spans="2:73" ht="15.95" customHeight="1">
      <c r="B32" s="982"/>
      <c r="C32" s="927" t="s">
        <v>475</v>
      </c>
      <c r="D32" s="928"/>
      <c r="E32" s="928"/>
      <c r="F32" s="928"/>
      <c r="G32" s="928"/>
      <c r="H32" s="929"/>
      <c r="I32" s="909" t="s">
        <v>148</v>
      </c>
      <c r="J32" s="909"/>
      <c r="K32" s="909"/>
      <c r="L32" s="907">
        <v>1.2</v>
      </c>
      <c r="M32" s="907"/>
      <c r="N32" s="907"/>
      <c r="O32" s="907"/>
      <c r="P32" s="907"/>
      <c r="Q32" s="907">
        <v>1.2</v>
      </c>
      <c r="R32" s="907"/>
      <c r="S32" s="907"/>
      <c r="T32" s="907"/>
      <c r="U32" s="907"/>
      <c r="V32" s="907">
        <v>1.2</v>
      </c>
      <c r="W32" s="907"/>
      <c r="X32" s="907"/>
      <c r="Y32" s="907"/>
      <c r="Z32" s="907"/>
      <c r="AA32" s="907">
        <v>1.2</v>
      </c>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907"/>
      <c r="AZ32" s="916"/>
      <c r="BA32" s="917"/>
      <c r="BB32" s="917"/>
      <c r="BC32" s="917"/>
      <c r="BD32" s="917"/>
      <c r="BE32" s="917"/>
      <c r="BF32" s="917"/>
      <c r="BG32" s="917"/>
      <c r="BH32" s="917"/>
      <c r="BI32" s="917"/>
      <c r="BJ32" s="917"/>
      <c r="BK32" s="918"/>
    </row>
    <row r="33" spans="2:63" ht="15.95" customHeight="1">
      <c r="B33" s="982"/>
      <c r="C33" s="932" t="s">
        <v>71</v>
      </c>
      <c r="D33" s="932"/>
      <c r="E33" s="932"/>
      <c r="F33" s="932"/>
      <c r="G33" s="932"/>
      <c r="H33" s="932"/>
      <c r="I33" s="909" t="s">
        <v>21</v>
      </c>
      <c r="J33" s="909"/>
      <c r="K33" s="909"/>
      <c r="L33" s="907">
        <v>0</v>
      </c>
      <c r="M33" s="907"/>
      <c r="N33" s="907"/>
      <c r="O33" s="907"/>
      <c r="P33" s="907"/>
      <c r="Q33" s="907">
        <v>0</v>
      </c>
      <c r="R33" s="907"/>
      <c r="S33" s="907"/>
      <c r="T33" s="907"/>
      <c r="U33" s="907"/>
      <c r="V33" s="907">
        <v>0</v>
      </c>
      <c r="W33" s="907"/>
      <c r="X33" s="907"/>
      <c r="Y33" s="907"/>
      <c r="Z33" s="907"/>
      <c r="AA33" s="907">
        <v>0</v>
      </c>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907"/>
      <c r="AZ33" s="916"/>
      <c r="BA33" s="917"/>
      <c r="BB33" s="917"/>
      <c r="BC33" s="917"/>
      <c r="BD33" s="917"/>
      <c r="BE33" s="917"/>
      <c r="BF33" s="917"/>
      <c r="BG33" s="917"/>
      <c r="BH33" s="917"/>
      <c r="BI33" s="917"/>
      <c r="BJ33" s="917"/>
      <c r="BK33" s="918"/>
    </row>
    <row r="34" spans="2:63" ht="15.95" customHeight="1">
      <c r="B34" s="982"/>
      <c r="C34" s="908" t="s">
        <v>160</v>
      </c>
      <c r="D34" s="908"/>
      <c r="E34" s="908"/>
      <c r="F34" s="908"/>
      <c r="G34" s="908"/>
      <c r="H34" s="908"/>
      <c r="I34" s="909" t="s">
        <v>20</v>
      </c>
      <c r="J34" s="909"/>
      <c r="K34" s="909"/>
      <c r="L34" s="907">
        <v>2.4</v>
      </c>
      <c r="M34" s="907"/>
      <c r="N34" s="907"/>
      <c r="O34" s="907"/>
      <c r="P34" s="907"/>
      <c r="Q34" s="907">
        <v>1.3</v>
      </c>
      <c r="R34" s="907"/>
      <c r="S34" s="907"/>
      <c r="T34" s="907"/>
      <c r="U34" s="907"/>
      <c r="V34" s="907">
        <v>2.2999999999999998</v>
      </c>
      <c r="W34" s="907"/>
      <c r="X34" s="907"/>
      <c r="Y34" s="907"/>
      <c r="Z34" s="907"/>
      <c r="AA34" s="907">
        <v>25.9</v>
      </c>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c r="AY34" s="907"/>
      <c r="AZ34" s="916"/>
      <c r="BA34" s="917"/>
      <c r="BB34" s="917"/>
      <c r="BC34" s="917"/>
      <c r="BD34" s="917"/>
      <c r="BE34" s="917"/>
      <c r="BF34" s="917"/>
      <c r="BG34" s="917"/>
      <c r="BH34" s="917"/>
      <c r="BI34" s="917"/>
      <c r="BJ34" s="917"/>
      <c r="BK34" s="918"/>
    </row>
    <row r="35" spans="2:63" ht="15.95" customHeight="1">
      <c r="B35" s="982"/>
      <c r="C35" s="908" t="s">
        <v>161</v>
      </c>
      <c r="D35" s="908"/>
      <c r="E35" s="908"/>
      <c r="F35" s="908"/>
      <c r="G35" s="908"/>
      <c r="H35" s="908"/>
      <c r="I35" s="909" t="s">
        <v>27</v>
      </c>
      <c r="J35" s="909"/>
      <c r="K35" s="909"/>
      <c r="L35" s="907">
        <v>55.6</v>
      </c>
      <c r="M35" s="907"/>
      <c r="N35" s="907"/>
      <c r="O35" s="907"/>
      <c r="P35" s="907"/>
      <c r="Q35" s="907">
        <v>78.55</v>
      </c>
      <c r="R35" s="907"/>
      <c r="S35" s="907"/>
      <c r="T35" s="907"/>
      <c r="U35" s="907"/>
      <c r="V35" s="907">
        <v>73.599999999999994</v>
      </c>
      <c r="W35" s="907"/>
      <c r="X35" s="907"/>
      <c r="Y35" s="907"/>
      <c r="Z35" s="907"/>
      <c r="AA35" s="907">
        <v>87.9</v>
      </c>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16"/>
      <c r="BA35" s="917"/>
      <c r="BB35" s="917"/>
      <c r="BC35" s="917"/>
      <c r="BD35" s="917"/>
      <c r="BE35" s="917"/>
      <c r="BF35" s="917"/>
      <c r="BG35" s="917"/>
      <c r="BH35" s="917"/>
      <c r="BI35" s="917"/>
      <c r="BJ35" s="917"/>
      <c r="BK35" s="918"/>
    </row>
    <row r="36" spans="2:63" ht="15.95" customHeight="1">
      <c r="B36" s="982"/>
      <c r="C36" s="932" t="s">
        <v>73</v>
      </c>
      <c r="D36" s="932"/>
      <c r="E36" s="932"/>
      <c r="F36" s="932"/>
      <c r="G36" s="932"/>
      <c r="H36" s="932"/>
      <c r="I36" s="909" t="s">
        <v>494</v>
      </c>
      <c r="J36" s="909"/>
      <c r="K36" s="909"/>
      <c r="L36" s="907">
        <v>46</v>
      </c>
      <c r="M36" s="907"/>
      <c r="N36" s="907"/>
      <c r="O36" s="907"/>
      <c r="P36" s="907"/>
      <c r="Q36" s="907">
        <v>46</v>
      </c>
      <c r="R36" s="907"/>
      <c r="S36" s="907"/>
      <c r="T36" s="907"/>
      <c r="U36" s="907"/>
      <c r="V36" s="907">
        <v>46</v>
      </c>
      <c r="W36" s="907"/>
      <c r="X36" s="907"/>
      <c r="Y36" s="907"/>
      <c r="Z36" s="907"/>
      <c r="AA36" s="907">
        <v>78</v>
      </c>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7"/>
      <c r="AY36" s="907"/>
      <c r="AZ36" s="916"/>
      <c r="BA36" s="917"/>
      <c r="BB36" s="917"/>
      <c r="BC36" s="917"/>
      <c r="BD36" s="917"/>
      <c r="BE36" s="917"/>
      <c r="BF36" s="917"/>
      <c r="BG36" s="917"/>
      <c r="BH36" s="917"/>
      <c r="BI36" s="917"/>
      <c r="BJ36" s="917"/>
      <c r="BK36" s="918"/>
    </row>
    <row r="37" spans="2:63" ht="15.95" customHeight="1" thickBot="1">
      <c r="B37" s="982"/>
      <c r="C37" s="933" t="s">
        <v>74</v>
      </c>
      <c r="D37" s="933"/>
      <c r="E37" s="933"/>
      <c r="F37" s="933"/>
      <c r="G37" s="933"/>
      <c r="H37" s="933"/>
      <c r="I37" s="934" t="s">
        <v>466</v>
      </c>
      <c r="J37" s="934"/>
      <c r="K37" s="934"/>
      <c r="L37" s="935">
        <v>0.78</v>
      </c>
      <c r="M37" s="935"/>
      <c r="N37" s="935"/>
      <c r="O37" s="935"/>
      <c r="P37" s="935"/>
      <c r="Q37" s="935">
        <v>0.78</v>
      </c>
      <c r="R37" s="935"/>
      <c r="S37" s="935"/>
      <c r="T37" s="935"/>
      <c r="U37" s="935"/>
      <c r="V37" s="935">
        <v>0.78</v>
      </c>
      <c r="W37" s="935"/>
      <c r="X37" s="935"/>
      <c r="Y37" s="935"/>
      <c r="Z37" s="935"/>
      <c r="AA37" s="935">
        <v>0.89</v>
      </c>
      <c r="AB37" s="935"/>
      <c r="AC37" s="935"/>
      <c r="AD37" s="935"/>
      <c r="AE37" s="935"/>
      <c r="AF37" s="975"/>
      <c r="AG37" s="975"/>
      <c r="AH37" s="975"/>
      <c r="AI37" s="975"/>
      <c r="AJ37" s="975"/>
      <c r="AK37" s="975"/>
      <c r="AL37" s="975"/>
      <c r="AM37" s="975"/>
      <c r="AN37" s="975"/>
      <c r="AO37" s="975"/>
      <c r="AP37" s="975"/>
      <c r="AQ37" s="975"/>
      <c r="AR37" s="975"/>
      <c r="AS37" s="975"/>
      <c r="AT37" s="975"/>
      <c r="AU37" s="975"/>
      <c r="AV37" s="975"/>
      <c r="AW37" s="975"/>
      <c r="AX37" s="975"/>
      <c r="AY37" s="975"/>
      <c r="AZ37" s="919"/>
      <c r="BA37" s="920"/>
      <c r="BB37" s="920"/>
      <c r="BC37" s="920"/>
      <c r="BD37" s="920"/>
      <c r="BE37" s="920"/>
      <c r="BF37" s="920"/>
      <c r="BG37" s="920"/>
      <c r="BH37" s="920"/>
      <c r="BI37" s="920"/>
      <c r="BJ37" s="920"/>
      <c r="BK37" s="921"/>
    </row>
    <row r="38" spans="2:63" ht="15.95" customHeight="1">
      <c r="B38" s="982"/>
      <c r="C38" s="927" t="s">
        <v>219</v>
      </c>
      <c r="D38" s="928"/>
      <c r="E38" s="928"/>
      <c r="F38" s="928"/>
      <c r="G38" s="928"/>
      <c r="H38" s="929"/>
      <c r="I38" s="976" t="s">
        <v>467</v>
      </c>
      <c r="J38" s="977"/>
      <c r="K38" s="978"/>
      <c r="L38" s="979">
        <f>ROUND(L31*365,2)</f>
        <v>1095</v>
      </c>
      <c r="M38" s="980"/>
      <c r="N38" s="980"/>
      <c r="O38" s="980"/>
      <c r="P38" s="981"/>
      <c r="Q38" s="979">
        <f>ROUND(Q31*365,2)</f>
        <v>5475</v>
      </c>
      <c r="R38" s="980"/>
      <c r="S38" s="980"/>
      <c r="T38" s="980"/>
      <c r="U38" s="981"/>
      <c r="V38" s="979">
        <f>ROUND(V31*365,2)</f>
        <v>1825</v>
      </c>
      <c r="W38" s="980"/>
      <c r="X38" s="980"/>
      <c r="Y38" s="980"/>
      <c r="Z38" s="981"/>
      <c r="AA38" s="979">
        <f>ROUND(AA31*365,2)</f>
        <v>1460</v>
      </c>
      <c r="AB38" s="980"/>
      <c r="AC38" s="980"/>
      <c r="AD38" s="980"/>
      <c r="AE38" s="981"/>
      <c r="AF38" s="979">
        <f>ROUND(AF31*365,2)</f>
        <v>0</v>
      </c>
      <c r="AG38" s="980"/>
      <c r="AH38" s="980"/>
      <c r="AI38" s="980"/>
      <c r="AJ38" s="981"/>
      <c r="AK38" s="979">
        <f>ROUND(AK31*365,2)</f>
        <v>0</v>
      </c>
      <c r="AL38" s="980"/>
      <c r="AM38" s="980"/>
      <c r="AN38" s="980"/>
      <c r="AO38" s="981"/>
      <c r="AP38" s="979">
        <f>ROUND(AP31*365,2)</f>
        <v>0</v>
      </c>
      <c r="AQ38" s="980"/>
      <c r="AR38" s="980"/>
      <c r="AS38" s="980"/>
      <c r="AT38" s="981"/>
      <c r="AU38" s="979">
        <f t="shared" ref="AU38" si="1">ROUND(AU31*365,2)</f>
        <v>0</v>
      </c>
      <c r="AV38" s="980"/>
      <c r="AW38" s="980"/>
      <c r="AX38" s="980"/>
      <c r="AY38" s="981"/>
      <c r="AZ38" s="916" t="s">
        <v>474</v>
      </c>
      <c r="BA38" s="917"/>
      <c r="BB38" s="917"/>
      <c r="BC38" s="917"/>
      <c r="BD38" s="917"/>
      <c r="BE38" s="917"/>
      <c r="BF38" s="917"/>
      <c r="BG38" s="917"/>
      <c r="BH38" s="917"/>
      <c r="BI38" s="917"/>
      <c r="BJ38" s="917"/>
      <c r="BK38" s="918"/>
    </row>
    <row r="39" spans="2:63" ht="15.95" customHeight="1">
      <c r="B39" s="982"/>
      <c r="C39" s="927" t="s">
        <v>208</v>
      </c>
      <c r="D39" s="928"/>
      <c r="E39" s="928"/>
      <c r="F39" s="928"/>
      <c r="G39" s="928"/>
      <c r="H39" s="929"/>
      <c r="I39" s="949" t="s">
        <v>578</v>
      </c>
      <c r="J39" s="950"/>
      <c r="K39" s="951"/>
      <c r="L39" s="953">
        <v>11.5</v>
      </c>
      <c r="M39" s="888"/>
      <c r="N39" s="888"/>
      <c r="O39" s="888"/>
      <c r="P39" s="888"/>
      <c r="Q39" s="888"/>
      <c r="R39" s="888"/>
      <c r="S39" s="888"/>
      <c r="T39" s="888"/>
      <c r="U39" s="889"/>
      <c r="V39" s="953">
        <v>7.5</v>
      </c>
      <c r="W39" s="888"/>
      <c r="X39" s="888"/>
      <c r="Y39" s="888"/>
      <c r="Z39" s="889"/>
      <c r="AA39" s="887">
        <v>11.1</v>
      </c>
      <c r="AB39" s="888"/>
      <c r="AC39" s="888"/>
      <c r="AD39" s="888"/>
      <c r="AE39" s="889"/>
      <c r="AF39" s="887"/>
      <c r="AG39" s="888"/>
      <c r="AH39" s="888"/>
      <c r="AI39" s="888"/>
      <c r="AJ39" s="889"/>
      <c r="AK39" s="887"/>
      <c r="AL39" s="888"/>
      <c r="AM39" s="888"/>
      <c r="AN39" s="888"/>
      <c r="AO39" s="889"/>
      <c r="AP39" s="887"/>
      <c r="AQ39" s="888"/>
      <c r="AR39" s="888"/>
      <c r="AS39" s="888"/>
      <c r="AT39" s="889"/>
      <c r="AU39" s="887"/>
      <c r="AV39" s="888"/>
      <c r="AW39" s="888"/>
      <c r="AX39" s="888"/>
      <c r="AY39" s="889"/>
      <c r="AZ39" s="916"/>
      <c r="BA39" s="917"/>
      <c r="BB39" s="917"/>
      <c r="BC39" s="917"/>
      <c r="BD39" s="917"/>
      <c r="BE39" s="917"/>
      <c r="BF39" s="917"/>
      <c r="BG39" s="917"/>
      <c r="BH39" s="917"/>
      <c r="BI39" s="917"/>
      <c r="BJ39" s="917"/>
      <c r="BK39" s="918"/>
    </row>
    <row r="40" spans="2:63" ht="15.95" customHeight="1" thickBot="1">
      <c r="B40" s="973"/>
      <c r="C40" s="954" t="s">
        <v>446</v>
      </c>
      <c r="D40" s="955"/>
      <c r="E40" s="955"/>
      <c r="F40" s="955"/>
      <c r="G40" s="955"/>
      <c r="H40" s="956"/>
      <c r="I40" s="949" t="s">
        <v>578</v>
      </c>
      <c r="J40" s="950"/>
      <c r="K40" s="951"/>
      <c r="L40" s="936">
        <v>8.5</v>
      </c>
      <c r="M40" s="937"/>
      <c r="N40" s="937"/>
      <c r="O40" s="937"/>
      <c r="P40" s="937"/>
      <c r="Q40" s="937"/>
      <c r="R40" s="937"/>
      <c r="S40" s="937"/>
      <c r="T40" s="937"/>
      <c r="U40" s="938"/>
      <c r="V40" s="936">
        <v>1.5</v>
      </c>
      <c r="W40" s="937"/>
      <c r="X40" s="937"/>
      <c r="Y40" s="937"/>
      <c r="Z40" s="938"/>
      <c r="AA40" s="939">
        <v>28.1</v>
      </c>
      <c r="AB40" s="937"/>
      <c r="AC40" s="937"/>
      <c r="AD40" s="937"/>
      <c r="AE40" s="938"/>
      <c r="AF40" s="939"/>
      <c r="AG40" s="937"/>
      <c r="AH40" s="937"/>
      <c r="AI40" s="937"/>
      <c r="AJ40" s="938"/>
      <c r="AK40" s="939"/>
      <c r="AL40" s="937"/>
      <c r="AM40" s="937"/>
      <c r="AN40" s="937"/>
      <c r="AO40" s="938"/>
      <c r="AP40" s="939"/>
      <c r="AQ40" s="937"/>
      <c r="AR40" s="937"/>
      <c r="AS40" s="937"/>
      <c r="AT40" s="938"/>
      <c r="AU40" s="939"/>
      <c r="AV40" s="937"/>
      <c r="AW40" s="937"/>
      <c r="AX40" s="937"/>
      <c r="AY40" s="938"/>
      <c r="AZ40" s="919"/>
      <c r="BA40" s="920"/>
      <c r="BB40" s="920"/>
      <c r="BC40" s="920"/>
      <c r="BD40" s="920"/>
      <c r="BE40" s="920"/>
      <c r="BF40" s="920"/>
      <c r="BG40" s="920"/>
      <c r="BH40" s="920"/>
      <c r="BI40" s="920"/>
      <c r="BJ40" s="920"/>
      <c r="BK40" s="921"/>
    </row>
    <row r="41" spans="2:63" ht="15.95" customHeight="1">
      <c r="B41" s="972" t="s">
        <v>533</v>
      </c>
      <c r="C41" s="947" t="s">
        <v>534</v>
      </c>
      <c r="D41" s="947"/>
      <c r="E41" s="947"/>
      <c r="F41" s="947"/>
      <c r="G41" s="947"/>
      <c r="H41" s="947"/>
      <c r="I41" s="947" t="s">
        <v>124</v>
      </c>
      <c r="J41" s="947"/>
      <c r="K41" s="947"/>
      <c r="L41" s="948"/>
      <c r="M41" s="948"/>
      <c r="N41" s="948"/>
      <c r="O41" s="948"/>
      <c r="P41" s="948"/>
      <c r="Q41" s="948"/>
      <c r="R41" s="948"/>
      <c r="S41" s="948"/>
      <c r="T41" s="948"/>
      <c r="U41" s="948"/>
      <c r="V41" s="994"/>
      <c r="W41" s="994"/>
      <c r="X41" s="994"/>
      <c r="Y41" s="994"/>
      <c r="Z41" s="994"/>
      <c r="AA41" s="976"/>
      <c r="AB41" s="977"/>
      <c r="AC41" s="977"/>
      <c r="AD41" s="977"/>
      <c r="AE41" s="978"/>
      <c r="AF41" s="976"/>
      <c r="AG41" s="977"/>
      <c r="AH41" s="977"/>
      <c r="AI41" s="977"/>
      <c r="AJ41" s="978"/>
      <c r="AK41" s="976"/>
      <c r="AL41" s="977"/>
      <c r="AM41" s="977"/>
      <c r="AN41" s="977"/>
      <c r="AO41" s="978"/>
      <c r="AP41" s="976"/>
      <c r="AQ41" s="977"/>
      <c r="AR41" s="977"/>
      <c r="AS41" s="977"/>
      <c r="AT41" s="978"/>
      <c r="AU41" s="976"/>
      <c r="AV41" s="977"/>
      <c r="AW41" s="977"/>
      <c r="AX41" s="977"/>
      <c r="AY41" s="978"/>
      <c r="AZ41" s="984" t="s">
        <v>535</v>
      </c>
      <c r="BA41" s="985"/>
      <c r="BB41" s="985"/>
      <c r="BC41" s="985"/>
      <c r="BD41" s="985"/>
      <c r="BE41" s="985"/>
      <c r="BF41" s="985"/>
      <c r="BG41" s="985"/>
      <c r="BH41" s="985"/>
      <c r="BI41" s="985"/>
      <c r="BJ41" s="985"/>
      <c r="BK41" s="986"/>
    </row>
    <row r="42" spans="2:63" ht="15.95" customHeight="1" thickBot="1">
      <c r="B42" s="973"/>
      <c r="C42" s="934" t="s">
        <v>264</v>
      </c>
      <c r="D42" s="934"/>
      <c r="E42" s="934"/>
      <c r="F42" s="934"/>
      <c r="G42" s="934"/>
      <c r="H42" s="934"/>
      <c r="I42" s="934" t="s">
        <v>124</v>
      </c>
      <c r="J42" s="934"/>
      <c r="K42" s="934"/>
      <c r="L42" s="966"/>
      <c r="M42" s="966"/>
      <c r="N42" s="966"/>
      <c r="O42" s="966"/>
      <c r="P42" s="966"/>
      <c r="Q42" s="966"/>
      <c r="R42" s="966"/>
      <c r="S42" s="966"/>
      <c r="T42" s="966"/>
      <c r="U42" s="966"/>
      <c r="V42" s="990"/>
      <c r="W42" s="990"/>
      <c r="X42" s="990"/>
      <c r="Y42" s="990"/>
      <c r="Z42" s="990"/>
      <c r="AA42" s="991"/>
      <c r="AB42" s="992"/>
      <c r="AC42" s="992"/>
      <c r="AD42" s="992"/>
      <c r="AE42" s="993"/>
      <c r="AF42" s="991"/>
      <c r="AG42" s="992"/>
      <c r="AH42" s="992"/>
      <c r="AI42" s="992"/>
      <c r="AJ42" s="993"/>
      <c r="AK42" s="991"/>
      <c r="AL42" s="992"/>
      <c r="AM42" s="992"/>
      <c r="AN42" s="992"/>
      <c r="AO42" s="993"/>
      <c r="AP42" s="991"/>
      <c r="AQ42" s="992"/>
      <c r="AR42" s="992"/>
      <c r="AS42" s="992"/>
      <c r="AT42" s="993"/>
      <c r="AU42" s="991"/>
      <c r="AV42" s="992"/>
      <c r="AW42" s="992"/>
      <c r="AX42" s="992"/>
      <c r="AY42" s="993"/>
      <c r="AZ42" s="987"/>
      <c r="BA42" s="988"/>
      <c r="BB42" s="988"/>
      <c r="BC42" s="988"/>
      <c r="BD42" s="988"/>
      <c r="BE42" s="988"/>
      <c r="BF42" s="988"/>
      <c r="BG42" s="988"/>
      <c r="BH42" s="988"/>
      <c r="BI42" s="988"/>
      <c r="BJ42" s="988"/>
      <c r="BK42" s="989"/>
    </row>
    <row r="43" spans="2:63" ht="15.95" customHeight="1" thickBot="1">
      <c r="C43" s="265"/>
      <c r="D43" s="265"/>
      <c r="E43" s="265"/>
      <c r="F43" s="265"/>
      <c r="G43" s="265"/>
      <c r="H43" s="265"/>
      <c r="I43" s="268"/>
      <c r="J43" s="268"/>
      <c r="K43" s="268"/>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row>
    <row r="44" spans="2:63" ht="15.95" customHeight="1" thickBot="1">
      <c r="C44" s="995" t="s">
        <v>199</v>
      </c>
      <c r="D44" s="996"/>
      <c r="E44" s="1006">
        <f>'物質収支（既存）【例】'!X15</f>
        <v>3.8</v>
      </c>
      <c r="F44" s="1007"/>
      <c r="G44" s="1007"/>
      <c r="H44" s="1007"/>
      <c r="I44" s="1007"/>
      <c r="J44" s="1007"/>
      <c r="K44" s="1007"/>
      <c r="L44" s="1008"/>
      <c r="M44" s="1000" t="str">
        <f>IF(E45="適応条件を満たさない、対応が必要。","⇒","")</f>
        <v/>
      </c>
      <c r="N44" s="995"/>
      <c r="O44" s="1009" t="str">
        <f>+IF(E45="適応条件を満たさない、対応が必要。","投入バイオマス濃度の調整等の対応が必要。","")</f>
        <v/>
      </c>
      <c r="P44" s="1009"/>
      <c r="Q44" s="1009"/>
      <c r="R44" s="1009"/>
      <c r="S44" s="1009"/>
      <c r="T44" s="1009"/>
      <c r="U44" s="1009"/>
      <c r="V44" s="1009"/>
      <c r="W44" s="1009"/>
      <c r="X44" s="1009"/>
      <c r="Y44" s="1009"/>
      <c r="Z44" s="1009"/>
      <c r="AA44" s="1009"/>
      <c r="AB44" s="1009"/>
    </row>
    <row r="45" spans="2:63" ht="15.95" customHeight="1" thickBot="1">
      <c r="C45" s="995"/>
      <c r="D45" s="996"/>
      <c r="E45" s="1002" t="str">
        <f>IF(E44&lt;10,"適用条件を満たす。","適応条件を満たさない、対応が必要。")</f>
        <v>適用条件を満たす。</v>
      </c>
      <c r="F45" s="1003"/>
      <c r="G45" s="1003"/>
      <c r="H45" s="1003"/>
      <c r="I45" s="1003"/>
      <c r="J45" s="1003"/>
      <c r="K45" s="1003"/>
      <c r="L45" s="1004"/>
      <c r="M45" s="1000"/>
      <c r="N45" s="995"/>
      <c r="O45" s="1009"/>
      <c r="P45" s="1009"/>
      <c r="Q45" s="1009"/>
      <c r="R45" s="1009"/>
      <c r="S45" s="1009"/>
      <c r="T45" s="1009"/>
      <c r="U45" s="1009"/>
      <c r="V45" s="1009"/>
      <c r="W45" s="1009"/>
      <c r="X45" s="1009"/>
      <c r="Y45" s="1009"/>
      <c r="Z45" s="1009"/>
      <c r="AA45" s="1009"/>
      <c r="AB45" s="1009"/>
    </row>
    <row r="46" spans="2:63" ht="15.95" customHeight="1" thickBot="1">
      <c r="B46" s="271"/>
    </row>
    <row r="47" spans="2:63" ht="15.95" customHeight="1" thickBot="1">
      <c r="C47" s="995" t="s">
        <v>199</v>
      </c>
      <c r="D47" s="996"/>
      <c r="E47" s="997">
        <f>IFERROR('施設規模の設定（既存）【例】'!G12,0)</f>
        <v>1.2582781456953642</v>
      </c>
      <c r="F47" s="998"/>
      <c r="G47" s="998"/>
      <c r="H47" s="998"/>
      <c r="I47" s="998"/>
      <c r="J47" s="998"/>
      <c r="K47" s="998"/>
      <c r="L47" s="999"/>
      <c r="M47" s="1000" t="str">
        <f>IF(E48="適用条件を満たさない、対応が必要。","⇒","")</f>
        <v/>
      </c>
      <c r="N47" s="995"/>
      <c r="O47" s="1001" t="str">
        <f>+IF(E48="適用条件を満たさない、対応が必要。","投入バイオマス濃度の調整・滞留時間の確保等の対応が必要。","")</f>
        <v/>
      </c>
      <c r="P47" s="1001"/>
      <c r="Q47" s="1001"/>
      <c r="R47" s="1001"/>
      <c r="S47" s="1001"/>
      <c r="T47" s="1001"/>
      <c r="U47" s="1001"/>
      <c r="V47" s="1001"/>
      <c r="W47" s="1001"/>
      <c r="X47" s="1001"/>
      <c r="Y47" s="1001"/>
      <c r="Z47" s="1001"/>
      <c r="AA47" s="1001"/>
      <c r="AB47" s="1001"/>
    </row>
    <row r="48" spans="2:63" ht="15.95" customHeight="1" thickBot="1">
      <c r="C48" s="995"/>
      <c r="D48" s="996"/>
      <c r="E48" s="1002" t="str">
        <f>+IF(E47&lt;=3.5,"適用条件を満たす。","適用条件を満たさない、対応が必要。")</f>
        <v>適用条件を満たす。</v>
      </c>
      <c r="F48" s="1003"/>
      <c r="G48" s="1003"/>
      <c r="H48" s="1003"/>
      <c r="I48" s="1003"/>
      <c r="J48" s="1003"/>
      <c r="K48" s="1003"/>
      <c r="L48" s="1004"/>
      <c r="M48" s="1000"/>
      <c r="N48" s="995"/>
      <c r="O48" s="1001"/>
      <c r="P48" s="1001"/>
      <c r="Q48" s="1001"/>
      <c r="R48" s="1001"/>
      <c r="S48" s="1001"/>
      <c r="T48" s="1001"/>
      <c r="U48" s="1001"/>
      <c r="V48" s="1001"/>
      <c r="W48" s="1001"/>
      <c r="X48" s="1001"/>
      <c r="Y48" s="1001"/>
      <c r="Z48" s="1001"/>
      <c r="AA48" s="1001"/>
      <c r="AB48" s="1001"/>
    </row>
    <row r="50" spans="2:49" ht="15.95" customHeight="1" thickBot="1">
      <c r="B50" s="893" t="s">
        <v>510</v>
      </c>
      <c r="C50" s="893"/>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row>
    <row r="51" spans="2:49" ht="15.95" customHeight="1">
      <c r="B51" s="1010" t="s">
        <v>23</v>
      </c>
      <c r="C51" s="1011"/>
      <c r="D51" s="1011"/>
      <c r="E51" s="1011" t="s">
        <v>113</v>
      </c>
      <c r="F51" s="1011"/>
      <c r="G51" s="1011"/>
      <c r="H51" s="1011"/>
      <c r="I51" s="1011"/>
      <c r="J51" s="1011" t="s">
        <v>114</v>
      </c>
      <c r="K51" s="1011"/>
      <c r="L51" s="1011"/>
      <c r="M51" s="1011"/>
      <c r="N51" s="1011"/>
      <c r="O51" s="1011" t="s">
        <v>115</v>
      </c>
      <c r="P51" s="1011"/>
      <c r="Q51" s="1011"/>
      <c r="R51" s="1011"/>
      <c r="S51" s="1011"/>
      <c r="T51" s="1011" t="s">
        <v>116</v>
      </c>
      <c r="U51" s="1011"/>
      <c r="V51" s="1011"/>
      <c r="W51" s="1011"/>
      <c r="X51" s="1011"/>
      <c r="Y51" s="1011" t="s">
        <v>117</v>
      </c>
      <c r="Z51" s="1011"/>
      <c r="AA51" s="1011"/>
      <c r="AB51" s="1011"/>
      <c r="AC51" s="1011"/>
      <c r="AD51" s="1011" t="s">
        <v>319</v>
      </c>
      <c r="AE51" s="1011"/>
      <c r="AF51" s="1011"/>
      <c r="AG51" s="1011"/>
      <c r="AH51" s="1011"/>
      <c r="AI51" s="1011" t="s">
        <v>320</v>
      </c>
      <c r="AJ51" s="1011"/>
      <c r="AK51" s="1011"/>
      <c r="AL51" s="1011"/>
      <c r="AM51" s="1011"/>
      <c r="AN51" s="1011" t="s">
        <v>25</v>
      </c>
      <c r="AO51" s="1011"/>
      <c r="AP51" s="1011"/>
      <c r="AQ51" s="1011"/>
      <c r="AR51" s="1011"/>
      <c r="AS51" s="1011"/>
      <c r="AT51" s="1011"/>
      <c r="AU51" s="1011"/>
      <c r="AV51" s="1011"/>
      <c r="AW51" s="1020"/>
    </row>
    <row r="52" spans="2:49" ht="15.95" customHeight="1">
      <c r="B52" s="1012"/>
      <c r="C52" s="1013"/>
      <c r="D52" s="1013"/>
      <c r="E52" s="1043" t="str">
        <f>+L12</f>
        <v>A市浄化センター</v>
      </c>
      <c r="F52" s="1043"/>
      <c r="G52" s="1043"/>
      <c r="H52" s="1043"/>
      <c r="I52" s="1043"/>
      <c r="J52" s="1043" t="str">
        <f>+V12</f>
        <v>B町中央浄化センター</v>
      </c>
      <c r="K52" s="1043"/>
      <c r="L52" s="1043"/>
      <c r="M52" s="1043"/>
      <c r="N52" s="1043"/>
      <c r="O52" s="1043" t="str">
        <f>+AA12</f>
        <v>B町浄化センター</v>
      </c>
      <c r="P52" s="1043"/>
      <c r="Q52" s="1043"/>
      <c r="R52" s="1043"/>
      <c r="S52" s="1043"/>
      <c r="T52" s="1043" t="str">
        <f>+AF12</f>
        <v>C町西浄化センター</v>
      </c>
      <c r="U52" s="1043"/>
      <c r="V52" s="1043"/>
      <c r="W52" s="1043"/>
      <c r="X52" s="1043"/>
      <c r="Y52" s="1043" t="str">
        <f>+AK12</f>
        <v>C町東浄化センター</v>
      </c>
      <c r="Z52" s="1043"/>
      <c r="AA52" s="1043"/>
      <c r="AB52" s="1043"/>
      <c r="AC52" s="1043"/>
      <c r="AD52" s="1043" t="str">
        <f>+AP12</f>
        <v>C町中部浄化センター</v>
      </c>
      <c r="AE52" s="1043"/>
      <c r="AF52" s="1043"/>
      <c r="AG52" s="1043"/>
      <c r="AH52" s="1043"/>
      <c r="AI52" s="1043" t="str">
        <f>+AU12</f>
        <v>その他処理場</v>
      </c>
      <c r="AJ52" s="1043"/>
      <c r="AK52" s="1043"/>
      <c r="AL52" s="1043"/>
      <c r="AM52" s="1043"/>
      <c r="AN52" s="1044" t="s">
        <v>460</v>
      </c>
      <c r="AO52" s="1045"/>
      <c r="AP52" s="1045"/>
      <c r="AQ52" s="1045"/>
      <c r="AR52" s="1045"/>
      <c r="AS52" s="1045"/>
      <c r="AT52" s="1045"/>
      <c r="AU52" s="1045"/>
      <c r="AV52" s="1045"/>
      <c r="AW52" s="1046"/>
    </row>
    <row r="53" spans="2:49" ht="15.95" customHeight="1">
      <c r="B53" s="1051" t="s">
        <v>328</v>
      </c>
      <c r="C53" s="941"/>
      <c r="D53" s="942"/>
      <c r="E53" s="931">
        <v>1</v>
      </c>
      <c r="F53" s="931"/>
      <c r="G53" s="931"/>
      <c r="H53" s="931"/>
      <c r="I53" s="931"/>
      <c r="J53" s="931">
        <v>1</v>
      </c>
      <c r="K53" s="931"/>
      <c r="L53" s="931"/>
      <c r="M53" s="931"/>
      <c r="N53" s="931"/>
      <c r="O53" s="931">
        <v>1</v>
      </c>
      <c r="P53" s="931"/>
      <c r="Q53" s="931"/>
      <c r="R53" s="931"/>
      <c r="S53" s="931"/>
      <c r="T53" s="931">
        <v>1</v>
      </c>
      <c r="U53" s="931"/>
      <c r="V53" s="931"/>
      <c r="W53" s="931"/>
      <c r="X53" s="931"/>
      <c r="Y53" s="931">
        <v>1</v>
      </c>
      <c r="Z53" s="931"/>
      <c r="AA53" s="931"/>
      <c r="AB53" s="931"/>
      <c r="AC53" s="931"/>
      <c r="AD53" s="931">
        <v>1</v>
      </c>
      <c r="AE53" s="931"/>
      <c r="AF53" s="931"/>
      <c r="AG53" s="931"/>
      <c r="AH53" s="931"/>
      <c r="AI53" s="931">
        <v>4</v>
      </c>
      <c r="AJ53" s="931"/>
      <c r="AK53" s="931"/>
      <c r="AL53" s="931"/>
      <c r="AM53" s="931"/>
      <c r="AN53" s="1047"/>
      <c r="AO53" s="1048"/>
      <c r="AP53" s="1048"/>
      <c r="AQ53" s="1048"/>
      <c r="AR53" s="1048"/>
      <c r="AS53" s="1048"/>
      <c r="AT53" s="1048"/>
      <c r="AU53" s="1048"/>
      <c r="AV53" s="1048"/>
      <c r="AW53" s="1049"/>
    </row>
    <row r="54" spans="2:49" ht="15.95" customHeight="1">
      <c r="B54" s="1014" t="s">
        <v>22</v>
      </c>
      <c r="C54" s="1015"/>
      <c r="D54" s="1016"/>
      <c r="E54" s="931">
        <v>1</v>
      </c>
      <c r="F54" s="931"/>
      <c r="G54" s="931"/>
      <c r="H54" s="931"/>
      <c r="I54" s="931"/>
      <c r="J54" s="931">
        <v>1</v>
      </c>
      <c r="K54" s="931"/>
      <c r="L54" s="931"/>
      <c r="M54" s="931"/>
      <c r="N54" s="931"/>
      <c r="O54" s="931">
        <v>1</v>
      </c>
      <c r="P54" s="931"/>
      <c r="Q54" s="931"/>
      <c r="R54" s="931"/>
      <c r="S54" s="931"/>
      <c r="T54" s="931">
        <v>1</v>
      </c>
      <c r="U54" s="931"/>
      <c r="V54" s="931"/>
      <c r="W54" s="931"/>
      <c r="X54" s="931"/>
      <c r="Y54" s="931">
        <v>0</v>
      </c>
      <c r="Z54" s="931"/>
      <c r="AA54" s="931"/>
      <c r="AB54" s="931"/>
      <c r="AC54" s="931"/>
      <c r="AD54" s="931">
        <v>1</v>
      </c>
      <c r="AE54" s="931"/>
      <c r="AF54" s="931"/>
      <c r="AG54" s="931"/>
      <c r="AH54" s="931"/>
      <c r="AI54" s="931">
        <v>0</v>
      </c>
      <c r="AJ54" s="931"/>
      <c r="AK54" s="931"/>
      <c r="AL54" s="931"/>
      <c r="AM54" s="931"/>
      <c r="AN54" s="1047"/>
      <c r="AO54" s="1048"/>
      <c r="AP54" s="1048"/>
      <c r="AQ54" s="1048"/>
      <c r="AR54" s="1048"/>
      <c r="AS54" s="1048"/>
      <c r="AT54" s="1048"/>
      <c r="AU54" s="1048"/>
      <c r="AV54" s="1048"/>
      <c r="AW54" s="1049"/>
    </row>
    <row r="55" spans="2:49" ht="15.95" customHeight="1">
      <c r="B55" s="1014" t="s">
        <v>47</v>
      </c>
      <c r="C55" s="1015"/>
      <c r="D55" s="1016"/>
      <c r="E55" s="931">
        <v>0</v>
      </c>
      <c r="F55" s="931"/>
      <c r="G55" s="931"/>
      <c r="H55" s="931"/>
      <c r="I55" s="931"/>
      <c r="J55" s="931">
        <v>0</v>
      </c>
      <c r="K55" s="931"/>
      <c r="L55" s="931"/>
      <c r="M55" s="931"/>
      <c r="N55" s="931"/>
      <c r="O55" s="931">
        <v>0</v>
      </c>
      <c r="P55" s="931"/>
      <c r="Q55" s="931"/>
      <c r="R55" s="931"/>
      <c r="S55" s="931"/>
      <c r="T55" s="931">
        <v>0</v>
      </c>
      <c r="U55" s="931"/>
      <c r="V55" s="931"/>
      <c r="W55" s="931"/>
      <c r="X55" s="931"/>
      <c r="Y55" s="931">
        <v>0</v>
      </c>
      <c r="Z55" s="931"/>
      <c r="AA55" s="931"/>
      <c r="AB55" s="931"/>
      <c r="AC55" s="931"/>
      <c r="AD55" s="931">
        <v>0</v>
      </c>
      <c r="AE55" s="931"/>
      <c r="AF55" s="931"/>
      <c r="AG55" s="931"/>
      <c r="AH55" s="931"/>
      <c r="AI55" s="931">
        <v>0</v>
      </c>
      <c r="AJ55" s="931"/>
      <c r="AK55" s="931"/>
      <c r="AL55" s="931"/>
      <c r="AM55" s="931"/>
      <c r="AN55" s="1047"/>
      <c r="AO55" s="1048"/>
      <c r="AP55" s="1048"/>
      <c r="AQ55" s="1048"/>
      <c r="AR55" s="1048"/>
      <c r="AS55" s="1048"/>
      <c r="AT55" s="1048"/>
      <c r="AU55" s="1048"/>
      <c r="AV55" s="1048"/>
      <c r="AW55" s="1049"/>
    </row>
    <row r="56" spans="2:49" ht="15.95" customHeight="1">
      <c r="B56" s="1014" t="s">
        <v>483</v>
      </c>
      <c r="C56" s="1015"/>
      <c r="D56" s="1016"/>
      <c r="E56" s="887">
        <v>0</v>
      </c>
      <c r="F56" s="888"/>
      <c r="G56" s="888"/>
      <c r="H56" s="888"/>
      <c r="I56" s="889"/>
      <c r="J56" s="887">
        <v>0</v>
      </c>
      <c r="K56" s="888"/>
      <c r="L56" s="888"/>
      <c r="M56" s="888"/>
      <c r="N56" s="889"/>
      <c r="O56" s="887">
        <v>0</v>
      </c>
      <c r="P56" s="888"/>
      <c r="Q56" s="888"/>
      <c r="R56" s="888"/>
      <c r="S56" s="889"/>
      <c r="T56" s="887">
        <v>0</v>
      </c>
      <c r="U56" s="888"/>
      <c r="V56" s="888"/>
      <c r="W56" s="888"/>
      <c r="X56" s="889"/>
      <c r="Y56" s="887">
        <v>0</v>
      </c>
      <c r="Z56" s="888"/>
      <c r="AA56" s="888"/>
      <c r="AB56" s="888"/>
      <c r="AC56" s="889"/>
      <c r="AD56" s="887">
        <v>0</v>
      </c>
      <c r="AE56" s="888"/>
      <c r="AF56" s="888"/>
      <c r="AG56" s="888"/>
      <c r="AH56" s="889"/>
      <c r="AI56" s="887">
        <v>0</v>
      </c>
      <c r="AJ56" s="888"/>
      <c r="AK56" s="888"/>
      <c r="AL56" s="888"/>
      <c r="AM56" s="889"/>
      <c r="AN56" s="1047"/>
      <c r="AO56" s="1048"/>
      <c r="AP56" s="1048"/>
      <c r="AQ56" s="1048"/>
      <c r="AR56" s="1048"/>
      <c r="AS56" s="1048"/>
      <c r="AT56" s="1048"/>
      <c r="AU56" s="1048"/>
      <c r="AV56" s="1048"/>
      <c r="AW56" s="1049"/>
    </row>
    <row r="57" spans="2:49" ht="15.95" customHeight="1" thickBot="1">
      <c r="B57" s="1052" t="s">
        <v>310</v>
      </c>
      <c r="C57" s="1053"/>
      <c r="D57" s="1054"/>
      <c r="E57" s="959">
        <v>0</v>
      </c>
      <c r="F57" s="959"/>
      <c r="G57" s="959"/>
      <c r="H57" s="959"/>
      <c r="I57" s="959"/>
      <c r="J57" s="939">
        <v>0</v>
      </c>
      <c r="K57" s="937"/>
      <c r="L57" s="937"/>
      <c r="M57" s="937"/>
      <c r="N57" s="938"/>
      <c r="O57" s="939">
        <v>0</v>
      </c>
      <c r="P57" s="937"/>
      <c r="Q57" s="937"/>
      <c r="R57" s="937"/>
      <c r="S57" s="938"/>
      <c r="T57" s="939">
        <v>0</v>
      </c>
      <c r="U57" s="937"/>
      <c r="V57" s="937"/>
      <c r="W57" s="937"/>
      <c r="X57" s="938"/>
      <c r="Y57" s="939">
        <v>0</v>
      </c>
      <c r="Z57" s="937"/>
      <c r="AA57" s="937"/>
      <c r="AB57" s="937"/>
      <c r="AC57" s="938"/>
      <c r="AD57" s="939">
        <v>0</v>
      </c>
      <c r="AE57" s="937"/>
      <c r="AF57" s="937"/>
      <c r="AG57" s="937"/>
      <c r="AH57" s="938"/>
      <c r="AI57" s="939">
        <v>0</v>
      </c>
      <c r="AJ57" s="937"/>
      <c r="AK57" s="937"/>
      <c r="AL57" s="937"/>
      <c r="AM57" s="938"/>
      <c r="AN57" s="963"/>
      <c r="AO57" s="964"/>
      <c r="AP57" s="964"/>
      <c r="AQ57" s="964"/>
      <c r="AR57" s="964"/>
      <c r="AS57" s="964"/>
      <c r="AT57" s="964"/>
      <c r="AU57" s="964"/>
      <c r="AV57" s="964"/>
      <c r="AW57" s="965"/>
    </row>
    <row r="59" spans="2:49" ht="15.95" customHeight="1" thickBot="1">
      <c r="B59" s="270" t="s">
        <v>507</v>
      </c>
      <c r="C59" s="270"/>
      <c r="D59" s="270"/>
      <c r="E59" s="270"/>
      <c r="F59" s="270"/>
      <c r="G59" s="270"/>
      <c r="H59" s="270"/>
      <c r="I59" s="270"/>
      <c r="J59" s="270"/>
      <c r="K59" s="270"/>
      <c r="L59" s="270"/>
      <c r="M59" s="270"/>
      <c r="N59" s="270"/>
      <c r="O59" s="270"/>
      <c r="V59" s="1005" t="s">
        <v>508</v>
      </c>
      <c r="W59" s="1005"/>
      <c r="X59" s="1005"/>
      <c r="Y59" s="1005"/>
      <c r="Z59" s="1005"/>
      <c r="AA59" s="1005"/>
      <c r="AB59" s="1005"/>
      <c r="AC59" s="1005"/>
      <c r="AD59" s="1005"/>
      <c r="AE59" s="1005"/>
      <c r="AF59" s="1005"/>
      <c r="AG59" s="1005"/>
      <c r="AH59" s="1005"/>
      <c r="AI59" s="1005"/>
      <c r="AJ59" s="1005"/>
      <c r="AK59" s="1005"/>
      <c r="AL59" s="1005"/>
    </row>
    <row r="60" spans="2:49" ht="15.95" customHeight="1">
      <c r="B60" s="1010" t="s">
        <v>23</v>
      </c>
      <c r="C60" s="1011"/>
      <c r="D60" s="1011"/>
      <c r="E60" s="1011" t="s">
        <v>24</v>
      </c>
      <c r="F60" s="1011"/>
      <c r="G60" s="1011"/>
      <c r="H60" s="1011" t="s">
        <v>193</v>
      </c>
      <c r="I60" s="1011"/>
      <c r="J60" s="1011"/>
      <c r="K60" s="1011" t="s">
        <v>25</v>
      </c>
      <c r="L60" s="1011"/>
      <c r="M60" s="1011"/>
      <c r="N60" s="1011"/>
      <c r="O60" s="1011"/>
      <c r="P60" s="1011"/>
      <c r="Q60" s="1011"/>
      <c r="R60" s="1011"/>
      <c r="S60" s="1020"/>
      <c r="V60" s="1055" t="s">
        <v>23</v>
      </c>
      <c r="W60" s="1018"/>
      <c r="X60" s="1019"/>
      <c r="Y60" s="1056" t="s">
        <v>238</v>
      </c>
      <c r="Z60" s="1056"/>
      <c r="AA60" s="1056"/>
      <c r="AB60" s="1056" t="s">
        <v>239</v>
      </c>
      <c r="AC60" s="1056"/>
      <c r="AD60" s="1056"/>
      <c r="AE60" s="1056" t="s">
        <v>240</v>
      </c>
      <c r="AF60" s="1056"/>
      <c r="AG60" s="1056"/>
      <c r="AH60" s="1011" t="s">
        <v>25</v>
      </c>
      <c r="AI60" s="1011"/>
      <c r="AJ60" s="1011"/>
      <c r="AK60" s="1011"/>
      <c r="AL60" s="1020"/>
    </row>
    <row r="61" spans="2:49" ht="15.95" customHeight="1">
      <c r="B61" s="1060" t="s">
        <v>490</v>
      </c>
      <c r="C61" s="909"/>
      <c r="D61" s="909"/>
      <c r="E61" s="909" t="s">
        <v>192</v>
      </c>
      <c r="F61" s="909"/>
      <c r="G61" s="909"/>
      <c r="H61" s="1058">
        <v>12</v>
      </c>
      <c r="I61" s="1058"/>
      <c r="J61" s="1058"/>
      <c r="K61" s="922" t="s">
        <v>699</v>
      </c>
      <c r="L61" s="922"/>
      <c r="M61" s="922"/>
      <c r="N61" s="922"/>
      <c r="O61" s="922"/>
      <c r="P61" s="922"/>
      <c r="Q61" s="922"/>
      <c r="R61" s="922"/>
      <c r="S61" s="1061"/>
      <c r="V61" s="1051" t="s">
        <v>95</v>
      </c>
      <c r="W61" s="941"/>
      <c r="X61" s="942"/>
      <c r="Y61" s="1059">
        <v>0.1</v>
      </c>
      <c r="Z61" s="1059"/>
      <c r="AA61" s="1059"/>
      <c r="AB61" s="1057">
        <v>2.3E-2</v>
      </c>
      <c r="AC61" s="1057"/>
      <c r="AD61" s="1057"/>
      <c r="AE61" s="1058">
        <v>20</v>
      </c>
      <c r="AF61" s="1058"/>
      <c r="AG61" s="1058"/>
      <c r="AH61" s="909"/>
      <c r="AI61" s="909"/>
      <c r="AJ61" s="909"/>
      <c r="AK61" s="909"/>
      <c r="AL61" s="1034"/>
    </row>
    <row r="62" spans="2:49" ht="15.95" customHeight="1" thickBot="1">
      <c r="B62" s="1062" t="s">
        <v>491</v>
      </c>
      <c r="C62" s="934"/>
      <c r="D62" s="934"/>
      <c r="E62" s="934" t="s">
        <v>138</v>
      </c>
      <c r="F62" s="934"/>
      <c r="G62" s="934"/>
      <c r="H62" s="1063">
        <v>79</v>
      </c>
      <c r="I62" s="1063"/>
      <c r="J62" s="1063"/>
      <c r="K62" s="957"/>
      <c r="L62" s="957"/>
      <c r="M62" s="957"/>
      <c r="N62" s="957"/>
      <c r="O62" s="957"/>
      <c r="P62" s="957"/>
      <c r="Q62" s="957"/>
      <c r="R62" s="957"/>
      <c r="S62" s="1064"/>
      <c r="V62" s="1051" t="s">
        <v>146</v>
      </c>
      <c r="W62" s="941"/>
      <c r="X62" s="942"/>
      <c r="Y62" s="1059">
        <v>0.1</v>
      </c>
      <c r="Z62" s="1059"/>
      <c r="AA62" s="1059"/>
      <c r="AB62" s="1057">
        <v>2.3E-2</v>
      </c>
      <c r="AC62" s="1057"/>
      <c r="AD62" s="1057"/>
      <c r="AE62" s="1058">
        <v>15</v>
      </c>
      <c r="AF62" s="1058"/>
      <c r="AG62" s="1058"/>
      <c r="AH62" s="909"/>
      <c r="AI62" s="909"/>
      <c r="AJ62" s="909"/>
      <c r="AK62" s="909"/>
      <c r="AL62" s="1034"/>
    </row>
    <row r="63" spans="2:49" ht="15.95" customHeight="1" thickBot="1">
      <c r="V63" s="1065" t="s">
        <v>8</v>
      </c>
      <c r="W63" s="992"/>
      <c r="X63" s="993"/>
      <c r="Y63" s="1066">
        <v>0.1</v>
      </c>
      <c r="Z63" s="1066"/>
      <c r="AA63" s="1066"/>
      <c r="AB63" s="1067">
        <v>2.3E-2</v>
      </c>
      <c r="AC63" s="1067"/>
      <c r="AD63" s="1067"/>
      <c r="AE63" s="1063">
        <v>40</v>
      </c>
      <c r="AF63" s="1063"/>
      <c r="AG63" s="1063"/>
      <c r="AH63" s="934"/>
      <c r="AI63" s="934"/>
      <c r="AJ63" s="934"/>
      <c r="AK63" s="934"/>
      <c r="AL63" s="1037"/>
    </row>
    <row r="65" spans="2:17" ht="15.95" hidden="1" customHeight="1" thickBot="1">
      <c r="B65" s="264" t="s">
        <v>228</v>
      </c>
    </row>
    <row r="66" spans="2:17" ht="15.95" hidden="1" customHeight="1">
      <c r="B66" s="1072" t="s">
        <v>23</v>
      </c>
      <c r="C66" s="1073"/>
      <c r="D66" s="1073"/>
      <c r="E66" s="1073"/>
      <c r="F66" s="1073"/>
      <c r="G66" s="1073" t="s">
        <v>24</v>
      </c>
      <c r="H66" s="1073"/>
      <c r="I66" s="1073"/>
      <c r="J66" s="1073" t="s">
        <v>37</v>
      </c>
      <c r="K66" s="1073"/>
      <c r="L66" s="1073"/>
      <c r="M66" s="1074" t="s">
        <v>25</v>
      </c>
      <c r="N66" s="1074"/>
      <c r="O66" s="1074"/>
      <c r="P66" s="1074"/>
      <c r="Q66" s="1075"/>
    </row>
    <row r="67" spans="2:17" ht="15.95" hidden="1" customHeight="1">
      <c r="B67" s="1021" t="s">
        <v>223</v>
      </c>
      <c r="C67" s="908"/>
      <c r="D67" s="908"/>
      <c r="E67" s="908"/>
      <c r="F67" s="908"/>
      <c r="G67" s="909" t="s">
        <v>21</v>
      </c>
      <c r="H67" s="909"/>
      <c r="I67" s="909"/>
      <c r="J67" s="1058">
        <v>35</v>
      </c>
      <c r="K67" s="1058"/>
      <c r="L67" s="1058"/>
      <c r="M67" s="1068"/>
      <c r="N67" s="1068"/>
      <c r="O67" s="1068"/>
      <c r="P67" s="1068"/>
      <c r="Q67" s="1069"/>
    </row>
    <row r="68" spans="2:17" ht="15.95" hidden="1" customHeight="1">
      <c r="B68" s="1021" t="s">
        <v>224</v>
      </c>
      <c r="C68" s="908"/>
      <c r="D68" s="908"/>
      <c r="E68" s="908"/>
      <c r="F68" s="908"/>
      <c r="G68" s="909" t="s">
        <v>217</v>
      </c>
      <c r="H68" s="909"/>
      <c r="I68" s="909"/>
      <c r="J68" s="1058">
        <v>0.93</v>
      </c>
      <c r="K68" s="1058"/>
      <c r="L68" s="1058"/>
      <c r="M68" s="1068"/>
      <c r="N68" s="1068"/>
      <c r="O68" s="1068"/>
      <c r="P68" s="1068"/>
      <c r="Q68" s="1069"/>
    </row>
    <row r="69" spans="2:17" ht="15.95" hidden="1" customHeight="1" thickBot="1">
      <c r="B69" s="1027" t="s">
        <v>225</v>
      </c>
      <c r="C69" s="1028"/>
      <c r="D69" s="1028"/>
      <c r="E69" s="1028"/>
      <c r="F69" s="1028"/>
      <c r="G69" s="934" t="s">
        <v>21</v>
      </c>
      <c r="H69" s="934"/>
      <c r="I69" s="934"/>
      <c r="J69" s="1063">
        <v>50</v>
      </c>
      <c r="K69" s="1063"/>
      <c r="L69" s="1063"/>
      <c r="M69" s="1070"/>
      <c r="N69" s="1070"/>
      <c r="O69" s="1070"/>
      <c r="P69" s="1070"/>
      <c r="Q69" s="1071"/>
    </row>
    <row r="70" spans="2:17" ht="15.95" hidden="1" customHeight="1"/>
    <row r="71" spans="2:17" ht="15.95" hidden="1" customHeight="1" thickBot="1">
      <c r="B71" s="264" t="s">
        <v>226</v>
      </c>
    </row>
    <row r="72" spans="2:17" ht="15.95" hidden="1" customHeight="1">
      <c r="B72" s="1072" t="s">
        <v>23</v>
      </c>
      <c r="C72" s="1073"/>
      <c r="D72" s="1073"/>
      <c r="E72" s="1073"/>
      <c r="F72" s="1073"/>
      <c r="G72" s="1073" t="s">
        <v>24</v>
      </c>
      <c r="H72" s="1073"/>
      <c r="I72" s="1073"/>
      <c r="J72" s="1073" t="s">
        <v>37</v>
      </c>
      <c r="K72" s="1073"/>
      <c r="L72" s="1073"/>
      <c r="M72" s="1074" t="s">
        <v>25</v>
      </c>
      <c r="N72" s="1074"/>
      <c r="O72" s="1074"/>
      <c r="P72" s="1074"/>
      <c r="Q72" s="1075"/>
    </row>
    <row r="73" spans="2:17" ht="15.95" hidden="1" customHeight="1">
      <c r="B73" s="1021" t="s">
        <v>104</v>
      </c>
      <c r="C73" s="908"/>
      <c r="D73" s="908"/>
      <c r="E73" s="908"/>
      <c r="F73" s="908"/>
      <c r="G73" s="909" t="s">
        <v>107</v>
      </c>
      <c r="H73" s="909"/>
      <c r="I73" s="909"/>
      <c r="J73" s="1058">
        <v>35</v>
      </c>
      <c r="K73" s="1058"/>
      <c r="L73" s="1058"/>
      <c r="M73" s="1068"/>
      <c r="N73" s="1068"/>
      <c r="O73" s="1068"/>
      <c r="P73" s="1068"/>
      <c r="Q73" s="1069"/>
    </row>
    <row r="74" spans="2:17" ht="15.95" hidden="1" customHeight="1">
      <c r="B74" s="1021" t="s">
        <v>105</v>
      </c>
      <c r="C74" s="908"/>
      <c r="D74" s="908"/>
      <c r="E74" s="908"/>
      <c r="F74" s="908"/>
      <c r="G74" s="909" t="s">
        <v>107</v>
      </c>
      <c r="H74" s="909"/>
      <c r="I74" s="909"/>
      <c r="J74" s="1058">
        <v>10</v>
      </c>
      <c r="K74" s="1058"/>
      <c r="L74" s="1058"/>
      <c r="M74" s="1068"/>
      <c r="N74" s="1068"/>
      <c r="O74" s="1068"/>
      <c r="P74" s="1068"/>
      <c r="Q74" s="1069"/>
    </row>
    <row r="75" spans="2:17" ht="15.95" hidden="1" customHeight="1">
      <c r="B75" s="1035" t="s">
        <v>76</v>
      </c>
      <c r="C75" s="932"/>
      <c r="D75" s="932"/>
      <c r="E75" s="932"/>
      <c r="F75" s="932"/>
      <c r="G75" s="909" t="s">
        <v>21</v>
      </c>
      <c r="H75" s="909"/>
      <c r="I75" s="909"/>
      <c r="J75" s="1058">
        <v>60</v>
      </c>
      <c r="K75" s="1058"/>
      <c r="L75" s="1058"/>
      <c r="M75" s="1068"/>
      <c r="N75" s="1068"/>
      <c r="O75" s="1068"/>
      <c r="P75" s="1068"/>
      <c r="Q75" s="1069"/>
    </row>
    <row r="76" spans="2:17" ht="15.95" hidden="1" customHeight="1" thickBot="1">
      <c r="B76" s="1062" t="s">
        <v>75</v>
      </c>
      <c r="C76" s="934"/>
      <c r="D76" s="934"/>
      <c r="E76" s="934"/>
      <c r="F76" s="934"/>
      <c r="G76" s="934" t="s">
        <v>471</v>
      </c>
      <c r="H76" s="934"/>
      <c r="I76" s="934"/>
      <c r="J76" s="1063">
        <v>35739</v>
      </c>
      <c r="K76" s="1063"/>
      <c r="L76" s="1063"/>
      <c r="M76" s="1070" t="s">
        <v>79</v>
      </c>
      <c r="N76" s="1070"/>
      <c r="O76" s="1070"/>
      <c r="P76" s="1070"/>
      <c r="Q76" s="1071"/>
    </row>
    <row r="77" spans="2:17" ht="15.95" hidden="1" customHeight="1"/>
    <row r="78" spans="2:17" ht="15.95" hidden="1" customHeight="1" thickBot="1">
      <c r="B78" s="264" t="s">
        <v>227</v>
      </c>
    </row>
    <row r="79" spans="2:17" ht="15.95" hidden="1" customHeight="1">
      <c r="B79" s="1072" t="s">
        <v>23</v>
      </c>
      <c r="C79" s="1073"/>
      <c r="D79" s="1073"/>
      <c r="E79" s="1073"/>
      <c r="F79" s="1073"/>
      <c r="G79" s="1073" t="s">
        <v>24</v>
      </c>
      <c r="H79" s="1073"/>
      <c r="I79" s="1073"/>
      <c r="J79" s="1073" t="s">
        <v>37</v>
      </c>
      <c r="K79" s="1073"/>
      <c r="L79" s="1073"/>
      <c r="M79" s="1074" t="s">
        <v>25</v>
      </c>
      <c r="N79" s="1074"/>
      <c r="O79" s="1074"/>
      <c r="P79" s="1074"/>
      <c r="Q79" s="1075"/>
    </row>
    <row r="80" spans="2:17" ht="15.95" hidden="1" customHeight="1">
      <c r="B80" s="1021" t="s">
        <v>78</v>
      </c>
      <c r="C80" s="908"/>
      <c r="D80" s="908"/>
      <c r="E80" s="908"/>
      <c r="F80" s="908"/>
      <c r="G80" s="909" t="s">
        <v>21</v>
      </c>
      <c r="H80" s="909"/>
      <c r="I80" s="909"/>
      <c r="J80" s="1058">
        <v>85</v>
      </c>
      <c r="K80" s="1058"/>
      <c r="L80" s="1058"/>
      <c r="M80" s="1068"/>
      <c r="N80" s="1068"/>
      <c r="O80" s="1068"/>
      <c r="P80" s="1068"/>
      <c r="Q80" s="1069"/>
    </row>
    <row r="81" spans="2:37" ht="15.95" hidden="1" customHeight="1">
      <c r="B81" s="1021" t="s">
        <v>102</v>
      </c>
      <c r="C81" s="908"/>
      <c r="D81" s="908"/>
      <c r="E81" s="908"/>
      <c r="F81" s="908"/>
      <c r="G81" s="909" t="s">
        <v>21</v>
      </c>
      <c r="H81" s="909"/>
      <c r="I81" s="909"/>
      <c r="J81" s="1058">
        <v>25</v>
      </c>
      <c r="K81" s="1058"/>
      <c r="L81" s="1058"/>
      <c r="M81" s="1068"/>
      <c r="N81" s="1068"/>
      <c r="O81" s="1068"/>
      <c r="P81" s="1068"/>
      <c r="Q81" s="1069"/>
    </row>
    <row r="82" spans="2:37" ht="15.95" hidden="1" customHeight="1" thickBot="1">
      <c r="B82" s="1027" t="s">
        <v>222</v>
      </c>
      <c r="C82" s="1028"/>
      <c r="D82" s="1028"/>
      <c r="E82" s="1028"/>
      <c r="F82" s="1028"/>
      <c r="G82" s="934" t="s">
        <v>107</v>
      </c>
      <c r="H82" s="934"/>
      <c r="I82" s="934"/>
      <c r="J82" s="1063">
        <v>15</v>
      </c>
      <c r="K82" s="1063"/>
      <c r="L82" s="1063"/>
      <c r="M82" s="1070"/>
      <c r="N82" s="1070"/>
      <c r="O82" s="1070"/>
      <c r="P82" s="1070"/>
      <c r="Q82" s="1071"/>
    </row>
    <row r="84" spans="2:37" ht="15.95" customHeight="1" thickBot="1">
      <c r="B84" s="1005" t="s">
        <v>506</v>
      </c>
      <c r="C84" s="1005"/>
      <c r="D84" s="1005"/>
      <c r="E84" s="1005"/>
      <c r="F84" s="1005"/>
      <c r="G84" s="1005"/>
      <c r="H84" s="1005"/>
      <c r="I84" s="1005"/>
      <c r="J84" s="1005"/>
      <c r="K84" s="1005"/>
      <c r="L84" s="1005"/>
      <c r="M84" s="1005"/>
      <c r="N84" s="1005"/>
      <c r="O84" s="1005"/>
      <c r="P84" s="1005"/>
      <c r="Q84" s="1005"/>
      <c r="R84" s="1005"/>
      <c r="S84" s="1005"/>
      <c r="T84" s="1005"/>
      <c r="U84" s="1005"/>
      <c r="V84" s="1005"/>
      <c r="W84" s="1005"/>
      <c r="X84" s="1005"/>
      <c r="Y84" s="1005"/>
    </row>
    <row r="85" spans="2:37" ht="15.95" customHeight="1">
      <c r="B85" s="1010" t="s">
        <v>23</v>
      </c>
      <c r="C85" s="1011"/>
      <c r="D85" s="1011"/>
      <c r="E85" s="1011" t="s">
        <v>24</v>
      </c>
      <c r="F85" s="1011"/>
      <c r="G85" s="1011"/>
      <c r="H85" s="1011" t="s">
        <v>113</v>
      </c>
      <c r="I85" s="1011"/>
      <c r="J85" s="1011"/>
      <c r="K85" s="1011"/>
      <c r="L85" s="1011" t="s">
        <v>114</v>
      </c>
      <c r="M85" s="1011"/>
      <c r="N85" s="1011"/>
      <c r="O85" s="1011"/>
      <c r="P85" s="1011" t="s">
        <v>115</v>
      </c>
      <c r="Q85" s="1011"/>
      <c r="R85" s="1011"/>
      <c r="S85" s="1011"/>
      <c r="T85" s="1023" t="s">
        <v>199</v>
      </c>
      <c r="U85" s="1024"/>
      <c r="V85" s="1024"/>
      <c r="W85" s="1011" t="s">
        <v>23</v>
      </c>
      <c r="X85" s="1011"/>
      <c r="Y85" s="1011"/>
      <c r="Z85" s="1011"/>
      <c r="AA85" s="1011" t="s">
        <v>24</v>
      </c>
      <c r="AB85" s="1011"/>
      <c r="AC85" s="1011"/>
      <c r="AD85" s="1017" t="s">
        <v>204</v>
      </c>
      <c r="AE85" s="1018"/>
      <c r="AF85" s="1019"/>
      <c r="AG85" s="1011" t="s">
        <v>25</v>
      </c>
      <c r="AH85" s="1011"/>
      <c r="AI85" s="1011"/>
      <c r="AJ85" s="1011"/>
      <c r="AK85" s="1020"/>
    </row>
    <row r="86" spans="2:37" ht="15.95" customHeight="1">
      <c r="B86" s="1021" t="s">
        <v>457</v>
      </c>
      <c r="C86" s="908"/>
      <c r="D86" s="908"/>
      <c r="E86" s="909" t="s">
        <v>148</v>
      </c>
      <c r="F86" s="909"/>
      <c r="G86" s="909"/>
      <c r="H86" s="1022" t="s">
        <v>521</v>
      </c>
      <c r="I86" s="1022"/>
      <c r="J86" s="1022"/>
      <c r="K86" s="1022"/>
      <c r="L86" s="1022"/>
      <c r="M86" s="1022"/>
      <c r="N86" s="1022"/>
      <c r="O86" s="1022"/>
      <c r="P86" s="1022"/>
      <c r="Q86" s="1022"/>
      <c r="R86" s="1022"/>
      <c r="S86" s="1022"/>
      <c r="T86" s="1025"/>
      <c r="U86" s="1025"/>
      <c r="V86" s="1025"/>
      <c r="W86" s="909" t="s">
        <v>201</v>
      </c>
      <c r="X86" s="909"/>
      <c r="Y86" s="909"/>
      <c r="Z86" s="909"/>
      <c r="AA86" s="1032" t="s">
        <v>469</v>
      </c>
      <c r="AB86" s="1032"/>
      <c r="AC86" s="1032"/>
      <c r="AD86" s="1033">
        <f>SUM(H89:S89)</f>
        <v>36</v>
      </c>
      <c r="AE86" s="1033"/>
      <c r="AF86" s="1033"/>
      <c r="AG86" s="909"/>
      <c r="AH86" s="909"/>
      <c r="AI86" s="909"/>
      <c r="AJ86" s="909"/>
      <c r="AK86" s="1034"/>
    </row>
    <row r="87" spans="2:37" ht="15.95" customHeight="1">
      <c r="B87" s="1035" t="s">
        <v>456</v>
      </c>
      <c r="C87" s="932"/>
      <c r="D87" s="932"/>
      <c r="E87" s="1032" t="s">
        <v>470</v>
      </c>
      <c r="F87" s="1032"/>
      <c r="G87" s="1032"/>
      <c r="H87" s="1041">
        <v>4.5</v>
      </c>
      <c r="I87" s="1041"/>
      <c r="J87" s="1041"/>
      <c r="K87" s="1041"/>
      <c r="L87" s="1042"/>
      <c r="M87" s="1042"/>
      <c r="N87" s="1042"/>
      <c r="O87" s="1042"/>
      <c r="P87" s="1042"/>
      <c r="Q87" s="1042"/>
      <c r="R87" s="1042"/>
      <c r="S87" s="1042"/>
      <c r="T87" s="1025"/>
      <c r="U87" s="1025"/>
      <c r="V87" s="1025"/>
      <c r="W87" s="909" t="s">
        <v>202</v>
      </c>
      <c r="X87" s="909"/>
      <c r="Y87" s="909"/>
      <c r="Z87" s="909"/>
      <c r="AA87" s="1032" t="s">
        <v>469</v>
      </c>
      <c r="AB87" s="1032"/>
      <c r="AC87" s="1032"/>
      <c r="AD87" s="1050">
        <f>'物質収支（既存）【例】'!X32</f>
        <v>1.25</v>
      </c>
      <c r="AE87" s="909"/>
      <c r="AF87" s="909"/>
      <c r="AG87" s="909"/>
      <c r="AH87" s="909"/>
      <c r="AI87" s="909"/>
      <c r="AJ87" s="909"/>
      <c r="AK87" s="1034"/>
    </row>
    <row r="88" spans="2:37" ht="15.95" customHeight="1">
      <c r="B88" s="1035" t="s">
        <v>150</v>
      </c>
      <c r="C88" s="932"/>
      <c r="D88" s="932"/>
      <c r="E88" s="1032" t="s">
        <v>149</v>
      </c>
      <c r="F88" s="1032"/>
      <c r="G88" s="1032"/>
      <c r="H88" s="1038">
        <v>8</v>
      </c>
      <c r="I88" s="1038"/>
      <c r="J88" s="1038"/>
      <c r="K88" s="1038"/>
      <c r="L88" s="1039"/>
      <c r="M88" s="1039"/>
      <c r="N88" s="1039"/>
      <c r="O88" s="1039"/>
      <c r="P88" s="1039">
        <v>0</v>
      </c>
      <c r="Q88" s="1039"/>
      <c r="R88" s="1039"/>
      <c r="S88" s="1039"/>
      <c r="T88" s="1025"/>
      <c r="U88" s="1025"/>
      <c r="V88" s="1025"/>
      <c r="W88" s="909" t="s">
        <v>203</v>
      </c>
      <c r="X88" s="909"/>
      <c r="Y88" s="909"/>
      <c r="Z88" s="909"/>
      <c r="AA88" s="1040" t="str">
        <f>+IF('物質収支（既存）【例】'!X32&lt;'施設規模の設定（既存）【例】'!G19,"設備の増設は不要","既存の設備では能力不足")</f>
        <v>設備の増設は不要</v>
      </c>
      <c r="AB88" s="1040"/>
      <c r="AC88" s="1040"/>
      <c r="AD88" s="1040"/>
      <c r="AE88" s="1040"/>
      <c r="AF88" s="1040"/>
      <c r="AG88" s="909"/>
      <c r="AH88" s="909"/>
      <c r="AI88" s="909"/>
      <c r="AJ88" s="909"/>
      <c r="AK88" s="1034"/>
    </row>
    <row r="89" spans="2:37" ht="15.95" customHeight="1" thickBot="1">
      <c r="B89" s="1027" t="s">
        <v>701</v>
      </c>
      <c r="C89" s="1028"/>
      <c r="D89" s="1028"/>
      <c r="E89" s="1029" t="s">
        <v>469</v>
      </c>
      <c r="F89" s="1029"/>
      <c r="G89" s="1029"/>
      <c r="H89" s="1030">
        <f>ROUND(H87*H88,3)</f>
        <v>36</v>
      </c>
      <c r="I89" s="1030"/>
      <c r="J89" s="1030"/>
      <c r="K89" s="1030"/>
      <c r="L89" s="1031">
        <f>ROUND(L87*L88,3)</f>
        <v>0</v>
      </c>
      <c r="M89" s="1031"/>
      <c r="N89" s="1031"/>
      <c r="O89" s="1031"/>
      <c r="P89" s="1031">
        <f>ROUND(P87*P88,3)</f>
        <v>0</v>
      </c>
      <c r="Q89" s="1031"/>
      <c r="R89" s="1031"/>
      <c r="S89" s="1031"/>
      <c r="T89" s="1026"/>
      <c r="U89" s="1026"/>
      <c r="V89" s="1026"/>
      <c r="W89" s="934" t="s">
        <v>188</v>
      </c>
      <c r="X89" s="934"/>
      <c r="Y89" s="934"/>
      <c r="Z89" s="934"/>
      <c r="AA89" s="1029" t="s">
        <v>469</v>
      </c>
      <c r="AB89" s="1029"/>
      <c r="AC89" s="1029"/>
      <c r="AD89" s="1036">
        <f>IF('施設規模の設定（既存）【例】'!G20="O.K",0,-ROUNDUP('物質収支（既存）【例】'!X32-'施設規模の設定（既存）【例】'!G19,1))</f>
        <v>0</v>
      </c>
      <c r="AE89" s="1036"/>
      <c r="AF89" s="1036"/>
      <c r="AG89" s="934"/>
      <c r="AH89" s="934"/>
      <c r="AI89" s="934"/>
      <c r="AJ89" s="934"/>
      <c r="AK89" s="1037"/>
    </row>
    <row r="91" spans="2:37" ht="15.95" customHeight="1" thickBot="1">
      <c r="B91" s="264" t="s">
        <v>700</v>
      </c>
    </row>
    <row r="92" spans="2:37" ht="15.95" customHeight="1">
      <c r="B92" s="1010" t="s">
        <v>647</v>
      </c>
      <c r="C92" s="1011"/>
      <c r="D92" s="1011"/>
      <c r="E92" s="1011" t="s">
        <v>649</v>
      </c>
      <c r="F92" s="1011"/>
      <c r="G92" s="1011"/>
      <c r="H92" s="1011"/>
      <c r="I92" s="1017"/>
      <c r="J92" s="1017" t="s">
        <v>652</v>
      </c>
      <c r="K92" s="1018"/>
      <c r="L92" s="1018"/>
      <c r="M92" s="1018"/>
      <c r="N92" s="1018"/>
      <c r="O92" s="1018"/>
      <c r="P92" s="1018"/>
      <c r="Q92" s="1018"/>
      <c r="R92" s="1018"/>
      <c r="S92" s="1076"/>
    </row>
    <row r="93" spans="2:37" ht="15.95" customHeight="1">
      <c r="B93" s="1060" t="s">
        <v>648</v>
      </c>
      <c r="C93" s="909"/>
      <c r="D93" s="909"/>
      <c r="E93" s="931" t="s">
        <v>650</v>
      </c>
      <c r="F93" s="931"/>
      <c r="G93" s="931"/>
      <c r="H93" s="931"/>
      <c r="I93" s="887"/>
      <c r="J93" s="1047" t="s">
        <v>703</v>
      </c>
      <c r="K93" s="1048"/>
      <c r="L93" s="1048"/>
      <c r="M93" s="1048"/>
      <c r="N93" s="1048"/>
      <c r="O93" s="1048"/>
      <c r="P93" s="1048"/>
      <c r="Q93" s="1048"/>
      <c r="R93" s="1048"/>
      <c r="S93" s="1049"/>
    </row>
    <row r="94" spans="2:37" ht="15.95" customHeight="1" thickBot="1">
      <c r="B94" s="1062" t="s">
        <v>651</v>
      </c>
      <c r="C94" s="934"/>
      <c r="D94" s="934"/>
      <c r="E94" s="959" t="s">
        <v>650</v>
      </c>
      <c r="F94" s="959"/>
      <c r="G94" s="959"/>
      <c r="H94" s="959"/>
      <c r="I94" s="939"/>
      <c r="J94" s="963"/>
      <c r="K94" s="964"/>
      <c r="L94" s="964"/>
      <c r="M94" s="964"/>
      <c r="N94" s="964"/>
      <c r="O94" s="964"/>
      <c r="P94" s="964"/>
      <c r="Q94" s="964"/>
      <c r="R94" s="964"/>
      <c r="S94" s="965"/>
    </row>
    <row r="96" spans="2:37" ht="15.95" customHeight="1" thickBot="1">
      <c r="B96" s="264" t="s">
        <v>702</v>
      </c>
    </row>
    <row r="97" spans="2:19" ht="15.95" customHeight="1">
      <c r="B97" s="1010" t="s">
        <v>23</v>
      </c>
      <c r="C97" s="1011"/>
      <c r="D97" s="1011"/>
      <c r="E97" s="1011" t="s">
        <v>649</v>
      </c>
      <c r="F97" s="1011"/>
      <c r="G97" s="1011"/>
      <c r="H97" s="1011"/>
      <c r="I97" s="1017"/>
      <c r="J97" s="1017" t="s">
        <v>25</v>
      </c>
      <c r="K97" s="1018"/>
      <c r="L97" s="1018"/>
      <c r="M97" s="1018"/>
      <c r="N97" s="1018"/>
      <c r="O97" s="1018"/>
      <c r="P97" s="1018"/>
      <c r="Q97" s="1018"/>
      <c r="R97" s="1018"/>
      <c r="S97" s="1076"/>
    </row>
    <row r="98" spans="2:19" ht="15.95" customHeight="1">
      <c r="B98" s="1083" t="s">
        <v>704</v>
      </c>
      <c r="C98" s="1084"/>
      <c r="D98" s="1085"/>
      <c r="E98" s="1077" t="s">
        <v>811</v>
      </c>
      <c r="F98" s="1078"/>
      <c r="G98" s="1078"/>
      <c r="H98" s="1078"/>
      <c r="I98" s="1079"/>
      <c r="J98" s="1047" t="s">
        <v>705</v>
      </c>
      <c r="K98" s="1048"/>
      <c r="L98" s="1048"/>
      <c r="M98" s="1048"/>
      <c r="N98" s="1048"/>
      <c r="O98" s="1048"/>
      <c r="P98" s="1048"/>
      <c r="Q98" s="1048"/>
      <c r="R98" s="1048"/>
      <c r="S98" s="1049"/>
    </row>
    <row r="99" spans="2:19" ht="15.95" customHeight="1" thickBot="1">
      <c r="B99" s="1086"/>
      <c r="C99" s="1087"/>
      <c r="D99" s="1088"/>
      <c r="E99" s="1080"/>
      <c r="F99" s="1081"/>
      <c r="G99" s="1081"/>
      <c r="H99" s="1081"/>
      <c r="I99" s="1082"/>
      <c r="J99" s="963"/>
      <c r="K99" s="964"/>
      <c r="L99" s="964"/>
      <c r="M99" s="964"/>
      <c r="N99" s="964"/>
      <c r="O99" s="964"/>
      <c r="P99" s="964"/>
      <c r="Q99" s="964"/>
      <c r="R99" s="964"/>
      <c r="S99" s="965"/>
    </row>
  </sheetData>
  <sheetProtection formatCells="0"/>
  <dataConsolidate/>
  <mergeCells count="530">
    <mergeCell ref="B97:D97"/>
    <mergeCell ref="E97:I97"/>
    <mergeCell ref="J97:S97"/>
    <mergeCell ref="J98:S99"/>
    <mergeCell ref="B82:F82"/>
    <mergeCell ref="G82:I82"/>
    <mergeCell ref="J82:L82"/>
    <mergeCell ref="M82:Q82"/>
    <mergeCell ref="P89:S89"/>
    <mergeCell ref="E92:I92"/>
    <mergeCell ref="E93:I93"/>
    <mergeCell ref="E94:I94"/>
    <mergeCell ref="J92:S92"/>
    <mergeCell ref="J93:S94"/>
    <mergeCell ref="B92:D92"/>
    <mergeCell ref="B93:D93"/>
    <mergeCell ref="B94:D94"/>
    <mergeCell ref="E98:I99"/>
    <mergeCell ref="B98:D99"/>
    <mergeCell ref="B80:F80"/>
    <mergeCell ref="G80:I80"/>
    <mergeCell ref="J80:L80"/>
    <mergeCell ref="M80:Q80"/>
    <mergeCell ref="B81:F81"/>
    <mergeCell ref="G81:I81"/>
    <mergeCell ref="J81:L81"/>
    <mergeCell ref="M81:Q81"/>
    <mergeCell ref="B76:F76"/>
    <mergeCell ref="G76:I76"/>
    <mergeCell ref="J76:L76"/>
    <mergeCell ref="M76:Q76"/>
    <mergeCell ref="B79:F79"/>
    <mergeCell ref="G79:I79"/>
    <mergeCell ref="J79:L79"/>
    <mergeCell ref="M79:Q79"/>
    <mergeCell ref="B74:F74"/>
    <mergeCell ref="G74:I74"/>
    <mergeCell ref="J74:L74"/>
    <mergeCell ref="M74:Q74"/>
    <mergeCell ref="B75:F75"/>
    <mergeCell ref="G75:I75"/>
    <mergeCell ref="J75:L75"/>
    <mergeCell ref="M75:Q75"/>
    <mergeCell ref="B72:F72"/>
    <mergeCell ref="G72:I72"/>
    <mergeCell ref="J72:L72"/>
    <mergeCell ref="M72:Q72"/>
    <mergeCell ref="B73:F73"/>
    <mergeCell ref="G73:I73"/>
    <mergeCell ref="J73:L73"/>
    <mergeCell ref="M73:Q73"/>
    <mergeCell ref="B69:F69"/>
    <mergeCell ref="G69:I69"/>
    <mergeCell ref="J69:L69"/>
    <mergeCell ref="M69:Q69"/>
    <mergeCell ref="B66:F66"/>
    <mergeCell ref="G66:I66"/>
    <mergeCell ref="J66:L66"/>
    <mergeCell ref="M66:Q66"/>
    <mergeCell ref="B67:F67"/>
    <mergeCell ref="G67:I67"/>
    <mergeCell ref="J67:L67"/>
    <mergeCell ref="M67:Q67"/>
    <mergeCell ref="V63:X63"/>
    <mergeCell ref="Y63:AA63"/>
    <mergeCell ref="AB63:AD63"/>
    <mergeCell ref="AE63:AG63"/>
    <mergeCell ref="AH63:AL63"/>
    <mergeCell ref="B68:F68"/>
    <mergeCell ref="G68:I68"/>
    <mergeCell ref="J68:L68"/>
    <mergeCell ref="M68:Q68"/>
    <mergeCell ref="AB61:AD61"/>
    <mergeCell ref="AE61:AG61"/>
    <mergeCell ref="AH61:AL61"/>
    <mergeCell ref="V62:X62"/>
    <mergeCell ref="Y62:AA62"/>
    <mergeCell ref="AB62:AD62"/>
    <mergeCell ref="B61:D61"/>
    <mergeCell ref="E61:G61"/>
    <mergeCell ref="H61:J61"/>
    <mergeCell ref="K61:S61"/>
    <mergeCell ref="V61:X61"/>
    <mergeCell ref="Y61:AA61"/>
    <mergeCell ref="AE62:AG62"/>
    <mergeCell ref="B62:D62"/>
    <mergeCell ref="E62:G62"/>
    <mergeCell ref="H62:J62"/>
    <mergeCell ref="K62:S62"/>
    <mergeCell ref="AH62:AL62"/>
    <mergeCell ref="V59:AL59"/>
    <mergeCell ref="B60:D60"/>
    <mergeCell ref="E60:G60"/>
    <mergeCell ref="H60:J60"/>
    <mergeCell ref="K60:S60"/>
    <mergeCell ref="V60:X60"/>
    <mergeCell ref="Y60:AA60"/>
    <mergeCell ref="AB60:AD60"/>
    <mergeCell ref="AE60:AG60"/>
    <mergeCell ref="AH60:AL60"/>
    <mergeCell ref="B53:D53"/>
    <mergeCell ref="E53:I53"/>
    <mergeCell ref="J53:N53"/>
    <mergeCell ref="O53:S53"/>
    <mergeCell ref="T53:X53"/>
    <mergeCell ref="Y53:AC53"/>
    <mergeCell ref="AD53:AH53"/>
    <mergeCell ref="AI53:AM53"/>
    <mergeCell ref="B57:D57"/>
    <mergeCell ref="E57:I57"/>
    <mergeCell ref="J57:N57"/>
    <mergeCell ref="O57:S57"/>
    <mergeCell ref="T57:X57"/>
    <mergeCell ref="Y57:AC57"/>
    <mergeCell ref="AD57:AH57"/>
    <mergeCell ref="AI57:AM57"/>
    <mergeCell ref="B56:D56"/>
    <mergeCell ref="E56:I56"/>
    <mergeCell ref="J56:N56"/>
    <mergeCell ref="O56:S56"/>
    <mergeCell ref="T56:X56"/>
    <mergeCell ref="Y56:AC56"/>
    <mergeCell ref="O55:S55"/>
    <mergeCell ref="T55:X55"/>
    <mergeCell ref="Y55:AC55"/>
    <mergeCell ref="AD55:AH55"/>
    <mergeCell ref="AI55:AM55"/>
    <mergeCell ref="E54:I54"/>
    <mergeCell ref="J54:N54"/>
    <mergeCell ref="O54:S54"/>
    <mergeCell ref="T54:X54"/>
    <mergeCell ref="Y54:AC54"/>
    <mergeCell ref="AD54:AH54"/>
    <mergeCell ref="W89:Z89"/>
    <mergeCell ref="AA89:AC89"/>
    <mergeCell ref="W85:Z85"/>
    <mergeCell ref="AA85:AC85"/>
    <mergeCell ref="B54:D54"/>
    <mergeCell ref="AD51:AH51"/>
    <mergeCell ref="AI51:AM51"/>
    <mergeCell ref="AN51:AW51"/>
    <mergeCell ref="E52:I52"/>
    <mergeCell ref="J52:N52"/>
    <mergeCell ref="O52:S52"/>
    <mergeCell ref="T52:X52"/>
    <mergeCell ref="Y52:AC52"/>
    <mergeCell ref="AD52:AH52"/>
    <mergeCell ref="AI52:AM52"/>
    <mergeCell ref="E51:I51"/>
    <mergeCell ref="J51:N51"/>
    <mergeCell ref="O51:S51"/>
    <mergeCell ref="T51:X51"/>
    <mergeCell ref="Y51:AC51"/>
    <mergeCell ref="AN52:AW57"/>
    <mergeCell ref="AD56:AH56"/>
    <mergeCell ref="AI56:AM56"/>
    <mergeCell ref="AD87:AF87"/>
    <mergeCell ref="AG87:AK87"/>
    <mergeCell ref="B88:D88"/>
    <mergeCell ref="E88:G88"/>
    <mergeCell ref="H88:K88"/>
    <mergeCell ref="L88:O88"/>
    <mergeCell ref="P88:S88"/>
    <mergeCell ref="W88:Z88"/>
    <mergeCell ref="AA88:AF88"/>
    <mergeCell ref="AG88:AK88"/>
    <mergeCell ref="E87:G87"/>
    <mergeCell ref="H87:K87"/>
    <mergeCell ref="L87:O87"/>
    <mergeCell ref="P87:S87"/>
    <mergeCell ref="W87:Z87"/>
    <mergeCell ref="AA87:AC87"/>
    <mergeCell ref="AD85:AF85"/>
    <mergeCell ref="AG85:AK85"/>
    <mergeCell ref="B86:D86"/>
    <mergeCell ref="E86:G86"/>
    <mergeCell ref="H86:K86"/>
    <mergeCell ref="L86:O86"/>
    <mergeCell ref="P86:S86"/>
    <mergeCell ref="W86:Z86"/>
    <mergeCell ref="B85:D85"/>
    <mergeCell ref="E85:G85"/>
    <mergeCell ref="H85:K85"/>
    <mergeCell ref="L85:O85"/>
    <mergeCell ref="P85:S85"/>
    <mergeCell ref="T85:V89"/>
    <mergeCell ref="B89:D89"/>
    <mergeCell ref="E89:G89"/>
    <mergeCell ref="H89:K89"/>
    <mergeCell ref="L89:O89"/>
    <mergeCell ref="AA86:AC86"/>
    <mergeCell ref="AD86:AF86"/>
    <mergeCell ref="AG86:AK86"/>
    <mergeCell ref="B87:D87"/>
    <mergeCell ref="AD89:AF89"/>
    <mergeCell ref="AG89:AK89"/>
    <mergeCell ref="C47:D48"/>
    <mergeCell ref="E47:L47"/>
    <mergeCell ref="M47:N48"/>
    <mergeCell ref="O47:AB48"/>
    <mergeCell ref="E48:L48"/>
    <mergeCell ref="B84:Y84"/>
    <mergeCell ref="AK42:AO42"/>
    <mergeCell ref="AP42:AT42"/>
    <mergeCell ref="AU42:AY42"/>
    <mergeCell ref="C44:D45"/>
    <mergeCell ref="E44:L44"/>
    <mergeCell ref="M44:N45"/>
    <mergeCell ref="O44:AB45"/>
    <mergeCell ref="E45:L45"/>
    <mergeCell ref="B41:B42"/>
    <mergeCell ref="AK41:AO41"/>
    <mergeCell ref="AP41:AT41"/>
    <mergeCell ref="AU41:AY41"/>
    <mergeCell ref="B50:AW50"/>
    <mergeCell ref="B51:D52"/>
    <mergeCell ref="AI54:AM54"/>
    <mergeCell ref="B55:D55"/>
    <mergeCell ref="E55:I55"/>
    <mergeCell ref="J55:N55"/>
    <mergeCell ref="AZ41:BK42"/>
    <mergeCell ref="C42:H42"/>
    <mergeCell ref="I42:K42"/>
    <mergeCell ref="L42:U42"/>
    <mergeCell ref="V42:Z42"/>
    <mergeCell ref="AA42:AE42"/>
    <mergeCell ref="AF42:AJ42"/>
    <mergeCell ref="C41:H41"/>
    <mergeCell ref="I41:K41"/>
    <mergeCell ref="L41:U41"/>
    <mergeCell ref="V41:Z41"/>
    <mergeCell ref="AA41:AE41"/>
    <mergeCell ref="AF41:AJ41"/>
    <mergeCell ref="B29:B40"/>
    <mergeCell ref="C29:H29"/>
    <mergeCell ref="I29:K29"/>
    <mergeCell ref="L29:P29"/>
    <mergeCell ref="Q29:U29"/>
    <mergeCell ref="V29:Z29"/>
    <mergeCell ref="AZ38:BK40"/>
    <mergeCell ref="C39:H39"/>
    <mergeCell ref="I39:K39"/>
    <mergeCell ref="L39:U39"/>
    <mergeCell ref="V39:Z39"/>
    <mergeCell ref="AA39:AE39"/>
    <mergeCell ref="AF39:AJ39"/>
    <mergeCell ref="AK39:AO39"/>
    <mergeCell ref="AP39:AT39"/>
    <mergeCell ref="AU39:AY39"/>
    <mergeCell ref="C40:H40"/>
    <mergeCell ref="I40:K40"/>
    <mergeCell ref="L40:U40"/>
    <mergeCell ref="V40:Z40"/>
    <mergeCell ref="AA40:AE40"/>
    <mergeCell ref="AF40:AJ40"/>
    <mergeCell ref="AK40:AO40"/>
    <mergeCell ref="AP40:AT40"/>
    <mergeCell ref="AU40:AY40"/>
    <mergeCell ref="AU37:AY37"/>
    <mergeCell ref="C38:H38"/>
    <mergeCell ref="I38:K38"/>
    <mergeCell ref="L38:P38"/>
    <mergeCell ref="Q38:U38"/>
    <mergeCell ref="V38:Z38"/>
    <mergeCell ref="AA38:AE38"/>
    <mergeCell ref="AF38:AJ38"/>
    <mergeCell ref="AK38:AO38"/>
    <mergeCell ref="AP38:AT38"/>
    <mergeCell ref="AU38:AY38"/>
    <mergeCell ref="C37:H37"/>
    <mergeCell ref="I37:K37"/>
    <mergeCell ref="L37:P37"/>
    <mergeCell ref="Q37:U37"/>
    <mergeCell ref="V37:Z37"/>
    <mergeCell ref="AA37:AE37"/>
    <mergeCell ref="AF37:AJ37"/>
    <mergeCell ref="AK37:AO37"/>
    <mergeCell ref="AP37:AT37"/>
    <mergeCell ref="C36:H36"/>
    <mergeCell ref="I36:K36"/>
    <mergeCell ref="L36:P36"/>
    <mergeCell ref="Q36:U36"/>
    <mergeCell ref="V36:Z36"/>
    <mergeCell ref="AA36:AE36"/>
    <mergeCell ref="AF36:AJ36"/>
    <mergeCell ref="AK36:AO36"/>
    <mergeCell ref="AP36:AT36"/>
    <mergeCell ref="C35:H35"/>
    <mergeCell ref="I35:K35"/>
    <mergeCell ref="L35:P35"/>
    <mergeCell ref="Q35:U35"/>
    <mergeCell ref="V35:Z35"/>
    <mergeCell ref="AA35:AE35"/>
    <mergeCell ref="AF35:AJ35"/>
    <mergeCell ref="AK35:AO35"/>
    <mergeCell ref="AP35:AT35"/>
    <mergeCell ref="C34:H34"/>
    <mergeCell ref="I34:K34"/>
    <mergeCell ref="L34:P34"/>
    <mergeCell ref="Q34:U34"/>
    <mergeCell ref="V34:Z34"/>
    <mergeCell ref="AA34:AE34"/>
    <mergeCell ref="AF34:AJ34"/>
    <mergeCell ref="AK34:AO34"/>
    <mergeCell ref="AP34:AT34"/>
    <mergeCell ref="C33:H33"/>
    <mergeCell ref="I33:K33"/>
    <mergeCell ref="L33:P33"/>
    <mergeCell ref="Q33:U33"/>
    <mergeCell ref="V33:Z33"/>
    <mergeCell ref="AA33:AE33"/>
    <mergeCell ref="C32:H32"/>
    <mergeCell ref="I32:K32"/>
    <mergeCell ref="L32:P32"/>
    <mergeCell ref="Q32:U32"/>
    <mergeCell ref="V32:Z32"/>
    <mergeCell ref="AA32:AE32"/>
    <mergeCell ref="C31:H31"/>
    <mergeCell ref="I31:K31"/>
    <mergeCell ref="L31:P31"/>
    <mergeCell ref="Q31:U31"/>
    <mergeCell ref="V31:Z31"/>
    <mergeCell ref="AA31:AE31"/>
    <mergeCell ref="V30:Z30"/>
    <mergeCell ref="AA30:AE30"/>
    <mergeCell ref="AF30:AJ30"/>
    <mergeCell ref="C30:H30"/>
    <mergeCell ref="I30:K30"/>
    <mergeCell ref="L30:P30"/>
    <mergeCell ref="Q30:U30"/>
    <mergeCell ref="AK30:AO30"/>
    <mergeCell ref="AP30:AT30"/>
    <mergeCell ref="AU30:AY30"/>
    <mergeCell ref="AA29:AE29"/>
    <mergeCell ref="AF29:AJ29"/>
    <mergeCell ref="AK29:AO29"/>
    <mergeCell ref="AP29:AT29"/>
    <mergeCell ref="AU29:AY29"/>
    <mergeCell ref="AZ29:BK37"/>
    <mergeCell ref="AF31:AJ31"/>
    <mergeCell ref="AK31:AO31"/>
    <mergeCell ref="AP31:AT31"/>
    <mergeCell ref="AU31:AY31"/>
    <mergeCell ref="AF32:AJ32"/>
    <mergeCell ref="AK32:AO32"/>
    <mergeCell ref="AP32:AT32"/>
    <mergeCell ref="AU32:AY32"/>
    <mergeCell ref="AF33:AJ33"/>
    <mergeCell ref="AK33:AO33"/>
    <mergeCell ref="AP33:AT33"/>
    <mergeCell ref="AU33:AY33"/>
    <mergeCell ref="AU34:AY34"/>
    <mergeCell ref="AU35:AY35"/>
    <mergeCell ref="AU36:AY36"/>
    <mergeCell ref="AU24:AY24"/>
    <mergeCell ref="AZ24:BK25"/>
    <mergeCell ref="C25:H25"/>
    <mergeCell ref="I25:K25"/>
    <mergeCell ref="L25:U25"/>
    <mergeCell ref="V25:Z25"/>
    <mergeCell ref="AA25:AE25"/>
    <mergeCell ref="AA28:AE28"/>
    <mergeCell ref="AF28:AJ28"/>
    <mergeCell ref="AK28:AO28"/>
    <mergeCell ref="AP28:AT28"/>
    <mergeCell ref="AU28:AY28"/>
    <mergeCell ref="AZ28:BK28"/>
    <mergeCell ref="AF25:AJ25"/>
    <mergeCell ref="AK25:AO25"/>
    <mergeCell ref="AP25:AT25"/>
    <mergeCell ref="AU25:AY25"/>
    <mergeCell ref="B27:BK27"/>
    <mergeCell ref="B28:H28"/>
    <mergeCell ref="I28:K28"/>
    <mergeCell ref="L28:P28"/>
    <mergeCell ref="Q28:U28"/>
    <mergeCell ref="V28:Z28"/>
    <mergeCell ref="B24:B25"/>
    <mergeCell ref="C24:H24"/>
    <mergeCell ref="I24:K24"/>
    <mergeCell ref="L24:U24"/>
    <mergeCell ref="V24:Z24"/>
    <mergeCell ref="AA24:AE24"/>
    <mergeCell ref="AF24:AJ24"/>
    <mergeCell ref="AK24:AO24"/>
    <mergeCell ref="AP24:AT24"/>
    <mergeCell ref="AZ21:BK23"/>
    <mergeCell ref="C22:H22"/>
    <mergeCell ref="I22:K22"/>
    <mergeCell ref="L22:P22"/>
    <mergeCell ref="Q22:U22"/>
    <mergeCell ref="V22:Z22"/>
    <mergeCell ref="AA22:AE22"/>
    <mergeCell ref="AF22:AJ22"/>
    <mergeCell ref="AK22:AO22"/>
    <mergeCell ref="AP22:AT22"/>
    <mergeCell ref="AU22:AY22"/>
    <mergeCell ref="C23:H23"/>
    <mergeCell ref="I23:K23"/>
    <mergeCell ref="L23:P23"/>
    <mergeCell ref="Q23:U23"/>
    <mergeCell ref="V23:Z23"/>
    <mergeCell ref="AA23:AE23"/>
    <mergeCell ref="AF23:AJ23"/>
    <mergeCell ref="AK23:AO23"/>
    <mergeCell ref="AP23:AT23"/>
    <mergeCell ref="AU23:AY23"/>
    <mergeCell ref="C21:H21"/>
    <mergeCell ref="I21:K21"/>
    <mergeCell ref="L21:U21"/>
    <mergeCell ref="V21:Z21"/>
    <mergeCell ref="AA21:AE21"/>
    <mergeCell ref="AF21:AJ21"/>
    <mergeCell ref="AK21:AO21"/>
    <mergeCell ref="AP21:AT21"/>
    <mergeCell ref="AU21:AY21"/>
    <mergeCell ref="AU19:AY19"/>
    <mergeCell ref="C20:H20"/>
    <mergeCell ref="I20:K20"/>
    <mergeCell ref="L20:P20"/>
    <mergeCell ref="Q20:U20"/>
    <mergeCell ref="V20:Z20"/>
    <mergeCell ref="AA20:AE20"/>
    <mergeCell ref="AF20:AJ20"/>
    <mergeCell ref="AK20:AO20"/>
    <mergeCell ref="AP20:AT20"/>
    <mergeCell ref="AU20:AY20"/>
    <mergeCell ref="C19:H19"/>
    <mergeCell ref="I19:K19"/>
    <mergeCell ref="L19:P19"/>
    <mergeCell ref="Q19:U19"/>
    <mergeCell ref="V19:Z19"/>
    <mergeCell ref="AA19:AE19"/>
    <mergeCell ref="AF19:AJ19"/>
    <mergeCell ref="AK19:AO19"/>
    <mergeCell ref="AP19:AT19"/>
    <mergeCell ref="AU17:AY17"/>
    <mergeCell ref="C18:H18"/>
    <mergeCell ref="I18:K18"/>
    <mergeCell ref="L18:P18"/>
    <mergeCell ref="Q18:U18"/>
    <mergeCell ref="V18:Z18"/>
    <mergeCell ref="AA18:AE18"/>
    <mergeCell ref="AF18:AJ18"/>
    <mergeCell ref="AK18:AO18"/>
    <mergeCell ref="AP18:AT18"/>
    <mergeCell ref="AU18:AY18"/>
    <mergeCell ref="AU15:AY15"/>
    <mergeCell ref="C16:H16"/>
    <mergeCell ref="I16:K16"/>
    <mergeCell ref="L16:P16"/>
    <mergeCell ref="Q16:U16"/>
    <mergeCell ref="V16:Z16"/>
    <mergeCell ref="AA16:AE16"/>
    <mergeCell ref="AF16:AJ16"/>
    <mergeCell ref="AK16:AO16"/>
    <mergeCell ref="AP16:AT16"/>
    <mergeCell ref="AU16:AY16"/>
    <mergeCell ref="BO12:BQ12"/>
    <mergeCell ref="C13:H13"/>
    <mergeCell ref="I13:K13"/>
    <mergeCell ref="L13:P13"/>
    <mergeCell ref="Q13:U13"/>
    <mergeCell ref="V13:Z13"/>
    <mergeCell ref="AA13:AE13"/>
    <mergeCell ref="AF13:AJ13"/>
    <mergeCell ref="AK13:AO13"/>
    <mergeCell ref="AP13:AT13"/>
    <mergeCell ref="AU13:AY13"/>
    <mergeCell ref="AU11:AY11"/>
    <mergeCell ref="AZ11:BK20"/>
    <mergeCell ref="C12:H12"/>
    <mergeCell ref="I12:K12"/>
    <mergeCell ref="L12:U12"/>
    <mergeCell ref="V12:Z12"/>
    <mergeCell ref="AA12:AE12"/>
    <mergeCell ref="AF12:AJ12"/>
    <mergeCell ref="AK12:AO12"/>
    <mergeCell ref="AP12:AT12"/>
    <mergeCell ref="AU12:AY12"/>
    <mergeCell ref="C14:H14"/>
    <mergeCell ref="I14:K14"/>
    <mergeCell ref="L14:P14"/>
    <mergeCell ref="Q14:U14"/>
    <mergeCell ref="V14:Z14"/>
    <mergeCell ref="AA14:AE14"/>
    <mergeCell ref="AF14:AJ14"/>
    <mergeCell ref="AK14:AO14"/>
    <mergeCell ref="AP14:AT14"/>
    <mergeCell ref="AU14:AY14"/>
    <mergeCell ref="C15:H15"/>
    <mergeCell ref="I15:K15"/>
    <mergeCell ref="L15:P15"/>
    <mergeCell ref="B11:B23"/>
    <mergeCell ref="C11:H11"/>
    <mergeCell ref="I11:K11"/>
    <mergeCell ref="L11:U11"/>
    <mergeCell ref="V11:Z11"/>
    <mergeCell ref="AA11:AE11"/>
    <mergeCell ref="AF11:AJ11"/>
    <mergeCell ref="AK11:AO11"/>
    <mergeCell ref="AP11:AT11"/>
    <mergeCell ref="Q15:U15"/>
    <mergeCell ref="V15:Z15"/>
    <mergeCell ref="AA15:AE15"/>
    <mergeCell ref="AF15:AJ15"/>
    <mergeCell ref="AK15:AO15"/>
    <mergeCell ref="AP15:AT15"/>
    <mergeCell ref="C17:H17"/>
    <mergeCell ref="I17:K17"/>
    <mergeCell ref="L17:P17"/>
    <mergeCell ref="Q17:U17"/>
    <mergeCell ref="V17:Z17"/>
    <mergeCell ref="AA17:AE17"/>
    <mergeCell ref="AF17:AJ17"/>
    <mergeCell ref="AK17:AO17"/>
    <mergeCell ref="AP17:AT17"/>
    <mergeCell ref="B4:D4"/>
    <mergeCell ref="B6:D6"/>
    <mergeCell ref="B9:BK9"/>
    <mergeCell ref="B10:H10"/>
    <mergeCell ref="I10:K10"/>
    <mergeCell ref="L10:U10"/>
    <mergeCell ref="V10:Z10"/>
    <mergeCell ref="AA10:AE10"/>
    <mergeCell ref="AF10:AJ10"/>
    <mergeCell ref="AK10:AO10"/>
    <mergeCell ref="AP10:AT10"/>
    <mergeCell ref="AU10:AY10"/>
    <mergeCell ref="AZ10:BK10"/>
  </mergeCells>
  <phoneticPr fontId="2"/>
  <conditionalFormatting sqref="E45:L45 E48:L48">
    <cfRule type="cellIs" dxfId="23" priority="8" operator="equal">
      <formula>"適用条件を満たす。"</formula>
    </cfRule>
  </conditionalFormatting>
  <conditionalFormatting sqref="E48:L48 E45:L45">
    <cfRule type="cellIs" dxfId="22" priority="6" operator="equal">
      <formula>"適応条件を満たさない、対応が必要。"</formula>
    </cfRule>
  </conditionalFormatting>
  <conditionalFormatting sqref="E48:L48">
    <cfRule type="cellIs" dxfId="21" priority="5" operator="equal">
      <formula>"適用条件を満たさない、対応が必要。"</formula>
    </cfRule>
  </conditionalFormatting>
  <conditionalFormatting sqref="O44:AB45">
    <cfRule type="cellIs" dxfId="20" priority="1" operator="equal">
      <formula>"投入バイオマス濃度の調整等の対応が必要。"</formula>
    </cfRule>
    <cfRule type="cellIs" dxfId="19" priority="3" operator="equal">
      <formula>"投入バイオマス濃度の調整等の対応が必要。"</formula>
    </cfRule>
    <cfRule type="cellIs" dxfId="18" priority="4" operator="equal">
      <formula>"投入バイオマス濃度の調整等の対応が必要。"</formula>
    </cfRule>
  </conditionalFormatting>
  <conditionalFormatting sqref="O47:AB48">
    <cfRule type="cellIs" dxfId="17" priority="2" operator="equal">
      <formula>"投入バイオマス濃度の調整・滞留時間の確保等の対応が必要。"</formula>
    </cfRule>
  </conditionalFormatting>
  <dataValidations count="1">
    <dataValidation type="list" allowBlank="1" showInputMessage="1" showErrorMessage="1" sqref="E93:I94 E98">
      <formula1>"〇,×"</formula1>
    </dataValidation>
  </dataValidations>
  <pageMargins left="0.7" right="0.7" top="0.75" bottom="0.75" header="0.3" footer="0.3"/>
  <pageSetup paperSize="9" scale="47" orientation="landscape" r:id="rId1"/>
  <colBreaks count="1" manualBreakCount="1">
    <brk id="64"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CV72"/>
  <sheetViews>
    <sheetView showGridLines="0" topLeftCell="A22" workbookViewId="0">
      <selection activeCell="J24" sqref="J24:L24"/>
    </sheetView>
  </sheetViews>
  <sheetFormatPr defaultRowHeight="13.5"/>
  <cols>
    <col min="1" max="39" width="4.125" customWidth="1"/>
    <col min="40" max="40" width="10.625" customWidth="1"/>
    <col min="41" max="41" width="19.375" customWidth="1"/>
    <col min="42" max="42" width="7.125" customWidth="1"/>
    <col min="43" max="43" width="13" customWidth="1"/>
    <col min="44" max="44" width="23.5" bestFit="1" customWidth="1"/>
    <col min="45" max="179" width="4.125" customWidth="1"/>
  </cols>
  <sheetData>
    <row r="2" spans="2:100">
      <c r="B2" t="s">
        <v>709</v>
      </c>
    </row>
    <row r="3" spans="2:100" ht="14.25" thickBot="1"/>
    <row r="4" spans="2:100" ht="14.25" thickBot="1">
      <c r="B4" t="s">
        <v>710</v>
      </c>
      <c r="AO4" s="431" t="s">
        <v>568</v>
      </c>
      <c r="AP4" s="432"/>
      <c r="AQ4" s="432"/>
      <c r="AR4" s="433"/>
      <c r="AT4" s="431" t="s">
        <v>545</v>
      </c>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3"/>
    </row>
    <row r="5" spans="2:100">
      <c r="B5" s="1089" t="s">
        <v>350</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1"/>
      <c r="AO5" s="1092" t="s">
        <v>504</v>
      </c>
      <c r="AP5" s="1093"/>
      <c r="AQ5" s="572" t="s">
        <v>350</v>
      </c>
      <c r="AR5" s="573" t="s">
        <v>721</v>
      </c>
      <c r="AT5" s="1010" t="s">
        <v>23</v>
      </c>
      <c r="AU5" s="1011"/>
      <c r="AV5" s="1011"/>
      <c r="AW5" s="1011"/>
      <c r="AX5" s="1011"/>
      <c r="AY5" s="1011"/>
      <c r="AZ5" s="1011"/>
      <c r="BA5" s="1011" t="s">
        <v>24</v>
      </c>
      <c r="BB5" s="1011"/>
      <c r="BC5" s="1011"/>
      <c r="BD5" s="1011" t="s">
        <v>459</v>
      </c>
      <c r="BE5" s="1011"/>
      <c r="BF5" s="1011"/>
      <c r="BG5" s="1011"/>
      <c r="BH5" s="1011"/>
      <c r="BI5" s="1011"/>
      <c r="BJ5" s="1011"/>
      <c r="BK5" s="1011"/>
      <c r="BL5" s="1011"/>
      <c r="BM5" s="1011"/>
      <c r="BN5" s="1011" t="s">
        <v>114</v>
      </c>
      <c r="BO5" s="1011"/>
      <c r="BP5" s="1011"/>
      <c r="BQ5" s="1011"/>
      <c r="BR5" s="1011"/>
      <c r="BS5" s="1011" t="s">
        <v>115</v>
      </c>
      <c r="BT5" s="1011"/>
      <c r="BU5" s="1011"/>
      <c r="BV5" s="1011"/>
      <c r="BW5" s="1011"/>
      <c r="BX5" s="1011" t="s">
        <v>116</v>
      </c>
      <c r="BY5" s="1011"/>
      <c r="BZ5" s="1011"/>
      <c r="CA5" s="1011"/>
      <c r="CB5" s="1011"/>
      <c r="CC5" s="1011" t="s">
        <v>117</v>
      </c>
      <c r="CD5" s="1011"/>
      <c r="CE5" s="1011"/>
      <c r="CF5" s="1011"/>
      <c r="CG5" s="1011"/>
      <c r="CH5" s="1011" t="s">
        <v>319</v>
      </c>
      <c r="CI5" s="1011"/>
      <c r="CJ5" s="1011"/>
      <c r="CK5" s="1011"/>
      <c r="CL5" s="1011"/>
      <c r="CM5" s="1011" t="s">
        <v>320</v>
      </c>
      <c r="CN5" s="1011"/>
      <c r="CO5" s="1011"/>
      <c r="CP5" s="1011"/>
      <c r="CQ5" s="1011"/>
      <c r="CR5" s="1011"/>
      <c r="CS5" s="1011"/>
      <c r="CT5" s="1011"/>
      <c r="CU5" s="1011"/>
      <c r="CV5" s="1020"/>
    </row>
    <row r="6" spans="2:100">
      <c r="B6" s="1094"/>
      <c r="C6" s="1131" t="s">
        <v>488</v>
      </c>
      <c r="D6" s="1132"/>
      <c r="E6" s="1132"/>
      <c r="F6" s="1132"/>
      <c r="G6" s="1132"/>
      <c r="H6" s="1133"/>
      <c r="I6" s="159"/>
      <c r="J6" s="1101" t="s">
        <v>344</v>
      </c>
      <c r="K6" s="1102"/>
      <c r="L6" s="1102"/>
      <c r="M6" s="1102"/>
      <c r="N6" s="1102"/>
      <c r="O6" s="1101" t="s">
        <v>194</v>
      </c>
      <c r="P6" s="1102"/>
      <c r="Q6" s="1102"/>
      <c r="R6" s="1102"/>
      <c r="S6" s="1102"/>
      <c r="T6" s="1101" t="s">
        <v>345</v>
      </c>
      <c r="U6" s="1102"/>
      <c r="V6" s="1102"/>
      <c r="W6" s="1102"/>
      <c r="X6" s="1102"/>
      <c r="Y6" s="1101" t="s">
        <v>342</v>
      </c>
      <c r="Z6" s="1102"/>
      <c r="AA6" s="1102"/>
      <c r="AB6" s="1102"/>
      <c r="AC6" s="1102"/>
      <c r="AD6" s="1101" t="s">
        <v>39</v>
      </c>
      <c r="AE6" s="1102"/>
      <c r="AF6" s="1102"/>
      <c r="AG6" s="1102"/>
      <c r="AH6" s="1120"/>
      <c r="AI6" s="1101" t="s">
        <v>447</v>
      </c>
      <c r="AJ6" s="1102"/>
      <c r="AK6" s="1102"/>
      <c r="AL6" s="1121"/>
      <c r="AO6" s="1122" t="s">
        <v>46</v>
      </c>
      <c r="AP6" s="2" t="s">
        <v>505</v>
      </c>
      <c r="AQ6" s="284">
        <f>AD10</f>
        <v>103.51662276606805</v>
      </c>
      <c r="AR6" s="329">
        <f>AD23</f>
        <v>125.69129173598199</v>
      </c>
      <c r="AT6" s="1124" t="s">
        <v>533</v>
      </c>
      <c r="AU6" s="922" t="s">
        <v>275</v>
      </c>
      <c r="AV6" s="922"/>
      <c r="AW6" s="922"/>
      <c r="AX6" s="922"/>
      <c r="AY6" s="922"/>
      <c r="AZ6" s="922"/>
      <c r="BA6" s="922"/>
      <c r="BB6" s="922"/>
      <c r="BC6" s="922"/>
      <c r="BD6" s="922" t="str">
        <f>+③基本情報入力【例】!$L$11</f>
        <v>A市</v>
      </c>
      <c r="BE6" s="922"/>
      <c r="BF6" s="922"/>
      <c r="BG6" s="922"/>
      <c r="BH6" s="922"/>
      <c r="BI6" s="922"/>
      <c r="BJ6" s="922"/>
      <c r="BK6" s="922"/>
      <c r="BL6" s="922"/>
      <c r="BM6" s="922"/>
      <c r="BN6" s="922" t="str">
        <f>+③基本情報入力【例】!$V$11</f>
        <v>B町</v>
      </c>
      <c r="BO6" s="922"/>
      <c r="BP6" s="922"/>
      <c r="BQ6" s="922"/>
      <c r="BR6" s="922"/>
      <c r="BS6" s="922" t="str">
        <f>+③基本情報入力【例】!$AA$11</f>
        <v>B町</v>
      </c>
      <c r="BT6" s="922"/>
      <c r="BU6" s="922"/>
      <c r="BV6" s="922"/>
      <c r="BW6" s="922"/>
      <c r="BX6" s="922" t="str">
        <f>+③基本情報入力【例】!$AF$11</f>
        <v>C町</v>
      </c>
      <c r="BY6" s="922"/>
      <c r="BZ6" s="922"/>
      <c r="CA6" s="922"/>
      <c r="CB6" s="922"/>
      <c r="CC6" s="922" t="str">
        <f>+③基本情報入力【例】!$AK$11</f>
        <v>C町</v>
      </c>
      <c r="CD6" s="922"/>
      <c r="CE6" s="922"/>
      <c r="CF6" s="922"/>
      <c r="CG6" s="922"/>
      <c r="CH6" s="922" t="str">
        <f>+③基本情報入力【例】!$AP$11</f>
        <v>C町</v>
      </c>
      <c r="CI6" s="922"/>
      <c r="CJ6" s="922"/>
      <c r="CK6" s="922"/>
      <c r="CL6" s="922"/>
      <c r="CM6" s="922" t="str">
        <f>+③基本情報入力【例】!$AU$11</f>
        <v>-</v>
      </c>
      <c r="CN6" s="922"/>
      <c r="CO6" s="922"/>
      <c r="CP6" s="922"/>
      <c r="CQ6" s="922"/>
      <c r="CR6" s="922" t="s">
        <v>39</v>
      </c>
      <c r="CS6" s="922"/>
      <c r="CT6" s="922"/>
      <c r="CU6" s="922"/>
      <c r="CV6" s="1061"/>
    </row>
    <row r="7" spans="2:100" ht="13.5" customHeight="1">
      <c r="B7" s="1094"/>
      <c r="C7" s="160"/>
      <c r="D7" s="1112" t="s">
        <v>346</v>
      </c>
      <c r="E7" s="1113"/>
      <c r="F7" s="1114"/>
      <c r="G7" s="1096" t="s">
        <v>347</v>
      </c>
      <c r="H7" s="1098"/>
      <c r="I7" s="161"/>
      <c r="J7" s="1099">
        <f>CR25</f>
        <v>817.6629379392997</v>
      </c>
      <c r="K7" s="1100"/>
      <c r="L7" s="1100"/>
      <c r="M7" s="408"/>
      <c r="N7" s="256"/>
      <c r="O7" s="1099">
        <f>BS32</f>
        <v>910.80000000000007</v>
      </c>
      <c r="P7" s="1100"/>
      <c r="Q7" s="1100"/>
      <c r="R7" s="408"/>
      <c r="S7" s="256"/>
      <c r="T7" s="1099">
        <f>+'事業費（既存）【例】'!H257</f>
        <v>0</v>
      </c>
      <c r="U7" s="1100"/>
      <c r="V7" s="1100"/>
      <c r="W7" s="408"/>
      <c r="X7" s="256"/>
      <c r="Y7" s="1099">
        <f>+'事業費（既存）【例】'!I257</f>
        <v>0</v>
      </c>
      <c r="Z7" s="1100"/>
      <c r="AA7" s="1100"/>
      <c r="AB7" s="408"/>
      <c r="AC7" s="256"/>
      <c r="AD7" s="1099">
        <f>+SUM(J7,O7,T7,Y7)</f>
        <v>1728.4629379392998</v>
      </c>
      <c r="AE7" s="1100"/>
      <c r="AF7" s="1100"/>
      <c r="AG7" s="408"/>
      <c r="AH7" s="256"/>
      <c r="AI7" s="1118">
        <v>100</v>
      </c>
      <c r="AJ7" s="1119"/>
      <c r="AK7" s="1119"/>
      <c r="AL7" s="269"/>
      <c r="AO7" s="1123"/>
      <c r="AP7" s="2" t="s">
        <v>348</v>
      </c>
      <c r="AQ7" s="284">
        <f>J10*0.45+O10+T10+Y10</f>
        <v>74.959408709557906</v>
      </c>
      <c r="AR7" s="331">
        <f>J23*0.45+O23+T23+Y23</f>
        <v>35.220039879440868</v>
      </c>
      <c r="AT7" s="1124"/>
      <c r="AU7" s="909" t="s">
        <v>458</v>
      </c>
      <c r="AV7" s="909"/>
      <c r="AW7" s="909"/>
      <c r="AX7" s="909"/>
      <c r="AY7" s="909"/>
      <c r="AZ7" s="909"/>
      <c r="BA7" s="922" t="s">
        <v>217</v>
      </c>
      <c r="BB7" s="922"/>
      <c r="BC7" s="922"/>
      <c r="BD7" s="1043" t="str">
        <f>+③基本情報入力【例】!$L$12</f>
        <v>A市浄化センター</v>
      </c>
      <c r="BE7" s="1043"/>
      <c r="BF7" s="1043"/>
      <c r="BG7" s="1043"/>
      <c r="BH7" s="1043"/>
      <c r="BI7" s="1043"/>
      <c r="BJ7" s="1043"/>
      <c r="BK7" s="1043"/>
      <c r="BL7" s="1043"/>
      <c r="BM7" s="1043"/>
      <c r="BN7" s="1043" t="str">
        <f>+③基本情報入力【例】!$V$12</f>
        <v>B町中央浄化センター</v>
      </c>
      <c r="BO7" s="1043"/>
      <c r="BP7" s="1043"/>
      <c r="BQ7" s="1043"/>
      <c r="BR7" s="1043"/>
      <c r="BS7" s="1043" t="str">
        <f>+③基本情報入力【例】!$AA$12</f>
        <v>B町浄化センター</v>
      </c>
      <c r="BT7" s="1043"/>
      <c r="BU7" s="1043"/>
      <c r="BV7" s="1043"/>
      <c r="BW7" s="1043"/>
      <c r="BX7" s="1043" t="str">
        <f>+③基本情報入力【例】!$AF$12</f>
        <v>C町西浄化センター</v>
      </c>
      <c r="BY7" s="1043"/>
      <c r="BZ7" s="1043"/>
      <c r="CA7" s="1043"/>
      <c r="CB7" s="1043"/>
      <c r="CC7" s="1043" t="str">
        <f>+③基本情報入力【例】!$AK$12</f>
        <v>C町東浄化センター</v>
      </c>
      <c r="CD7" s="1043"/>
      <c r="CE7" s="1043"/>
      <c r="CF7" s="1043"/>
      <c r="CG7" s="1043"/>
      <c r="CH7" s="1043" t="str">
        <f>+③基本情報入力【例】!$AP$12</f>
        <v>C町中部浄化センター</v>
      </c>
      <c r="CI7" s="1043"/>
      <c r="CJ7" s="1043"/>
      <c r="CK7" s="1043"/>
      <c r="CL7" s="1043"/>
      <c r="CM7" s="1043" t="str">
        <f>+③基本情報入力【例】!$AU$12</f>
        <v>その他処理場</v>
      </c>
      <c r="CN7" s="1043"/>
      <c r="CO7" s="1043"/>
      <c r="CP7" s="1043"/>
      <c r="CQ7" s="1043"/>
      <c r="CR7" s="1043" t="s">
        <v>217</v>
      </c>
      <c r="CS7" s="1043"/>
      <c r="CT7" s="1043"/>
      <c r="CU7" s="1043"/>
      <c r="CV7" s="1136"/>
    </row>
    <row r="8" spans="2:100">
      <c r="B8" s="1094"/>
      <c r="C8" s="162"/>
      <c r="D8" s="1115"/>
      <c r="E8" s="1116"/>
      <c r="F8" s="1117"/>
      <c r="G8" s="1137" t="s">
        <v>348</v>
      </c>
      <c r="H8" s="1138"/>
      <c r="I8" s="163"/>
      <c r="J8" s="1139">
        <f>+ROUND(J7*0.45,0)</f>
        <v>368</v>
      </c>
      <c r="K8" s="1140"/>
      <c r="L8" s="1140"/>
      <c r="M8" s="409"/>
      <c r="N8" s="257"/>
      <c r="O8" s="1139">
        <f>+ROUND(O7*0.67,0)</f>
        <v>610</v>
      </c>
      <c r="P8" s="1140"/>
      <c r="Q8" s="1140"/>
      <c r="R8" s="409"/>
      <c r="S8" s="257"/>
      <c r="T8" s="1139">
        <f>+ROUND(T7*0.67,0)</f>
        <v>0</v>
      </c>
      <c r="U8" s="1140"/>
      <c r="V8" s="1140"/>
      <c r="W8" s="409"/>
      <c r="X8" s="257"/>
      <c r="Y8" s="1139">
        <f>+ROUND(Y7*0.67,0)</f>
        <v>0</v>
      </c>
      <c r="Z8" s="1140"/>
      <c r="AA8" s="1140"/>
      <c r="AB8" s="409"/>
      <c r="AC8" s="257"/>
      <c r="AD8" s="1099">
        <f>+SUM(J8,O8,T8,Y8)</f>
        <v>978</v>
      </c>
      <c r="AE8" s="1100"/>
      <c r="AF8" s="1100"/>
      <c r="AG8" s="409"/>
      <c r="AH8" s="257"/>
      <c r="AI8" s="1118">
        <v>100</v>
      </c>
      <c r="AJ8" s="1119"/>
      <c r="AK8" s="1119"/>
      <c r="AL8" s="269"/>
      <c r="AO8" s="1129" t="s">
        <v>17</v>
      </c>
      <c r="AP8" s="1130"/>
      <c r="AQ8" s="284">
        <f>+AD11</f>
        <v>100.75360500598957</v>
      </c>
      <c r="AR8" s="329">
        <f>AD24</f>
        <v>133.39226906242413</v>
      </c>
      <c r="AT8" s="1124"/>
      <c r="AU8" s="909" t="s">
        <v>534</v>
      </c>
      <c r="AV8" s="909"/>
      <c r="AW8" s="909"/>
      <c r="AX8" s="909"/>
      <c r="AY8" s="909"/>
      <c r="AZ8" s="909"/>
      <c r="BA8" s="909" t="s">
        <v>120</v>
      </c>
      <c r="BB8" s="909"/>
      <c r="BC8" s="909"/>
      <c r="BD8" s="1111" t="str">
        <f>IF(③基本情報入力【例】!$L$24="","",③基本情報入力【例】!$L$24)</f>
        <v/>
      </c>
      <c r="BE8" s="1111"/>
      <c r="BF8" s="1111"/>
      <c r="BG8" s="1111"/>
      <c r="BH8" s="1111"/>
      <c r="BI8" s="1111"/>
      <c r="BJ8" s="1111"/>
      <c r="BK8" s="1111"/>
      <c r="BL8" s="1111"/>
      <c r="BM8" s="1111"/>
      <c r="BN8" s="1111" t="str">
        <f>IF(③基本情報入力【例】!V24="","",③基本情報入力【例】!V24)</f>
        <v/>
      </c>
      <c r="BO8" s="1111"/>
      <c r="BP8" s="1111"/>
      <c r="BQ8" s="1111"/>
      <c r="BR8" s="1111"/>
      <c r="BS8" s="1111" t="str">
        <f>IF(③基本情報入力【例】!AA24="","",③基本情報入力【例】!AA24)</f>
        <v/>
      </c>
      <c r="BT8" s="1111"/>
      <c r="BU8" s="1111"/>
      <c r="BV8" s="1111"/>
      <c r="BW8" s="1111"/>
      <c r="BX8" s="1111" t="str">
        <f>IF(③基本情報入力【例】!AF24="","",③基本情報入力【例】!AF24)</f>
        <v/>
      </c>
      <c r="BY8" s="1111"/>
      <c r="BZ8" s="1111"/>
      <c r="CA8" s="1111"/>
      <c r="CB8" s="1111"/>
      <c r="CC8" s="1111" t="str">
        <f>IF(③基本情報入力【例】!AK24="","",③基本情報入力【例】!AK24)</f>
        <v/>
      </c>
      <c r="CD8" s="1111"/>
      <c r="CE8" s="1111"/>
      <c r="CF8" s="1111"/>
      <c r="CG8" s="1111"/>
      <c r="CH8" s="1111" t="str">
        <f>IF(③基本情報入力【例】!AP24="","",③基本情報入力【例】!AP24)</f>
        <v/>
      </c>
      <c r="CI8" s="1111"/>
      <c r="CJ8" s="1111"/>
      <c r="CK8" s="1111"/>
      <c r="CL8" s="1111"/>
      <c r="CM8" s="1111" t="str">
        <f>IF(③基本情報入力【例】!AU24="","",③基本情報入力【例】!AU24)</f>
        <v/>
      </c>
      <c r="CN8" s="1111"/>
      <c r="CO8" s="1111"/>
      <c r="CP8" s="1111"/>
      <c r="CQ8" s="1111"/>
      <c r="CR8" s="1111">
        <v>0</v>
      </c>
      <c r="CS8" s="1111"/>
      <c r="CT8" s="1111"/>
      <c r="CU8" s="1111"/>
      <c r="CV8" s="1141"/>
    </row>
    <row r="9" spans="2:100">
      <c r="B9" s="1094"/>
      <c r="C9" s="1131" t="s">
        <v>489</v>
      </c>
      <c r="D9" s="1132"/>
      <c r="E9" s="1132"/>
      <c r="F9" s="1132"/>
      <c r="G9" s="1132"/>
      <c r="H9" s="1133"/>
      <c r="I9" s="164"/>
      <c r="J9" s="1101" t="s">
        <v>344</v>
      </c>
      <c r="K9" s="1102"/>
      <c r="L9" s="1102"/>
      <c r="M9" s="1102"/>
      <c r="N9" s="1102"/>
      <c r="O9" s="1101" t="s">
        <v>194</v>
      </c>
      <c r="P9" s="1102"/>
      <c r="Q9" s="1102"/>
      <c r="R9" s="1102"/>
      <c r="S9" s="1102"/>
      <c r="T9" s="1101" t="s">
        <v>19</v>
      </c>
      <c r="U9" s="1102"/>
      <c r="V9" s="1102"/>
      <c r="W9" s="1102"/>
      <c r="X9" s="1102"/>
      <c r="Y9" s="1101" t="s">
        <v>342</v>
      </c>
      <c r="Z9" s="1102"/>
      <c r="AA9" s="1102"/>
      <c r="AB9" s="1102"/>
      <c r="AC9" s="1102"/>
      <c r="AD9" s="1101" t="s">
        <v>39</v>
      </c>
      <c r="AE9" s="1102"/>
      <c r="AF9" s="1102"/>
      <c r="AG9" s="1102"/>
      <c r="AH9" s="1120"/>
      <c r="AI9" s="1126" t="s">
        <v>447</v>
      </c>
      <c r="AJ9" s="1127"/>
      <c r="AK9" s="1127"/>
      <c r="AL9" s="1128"/>
      <c r="AO9" s="1129" t="s">
        <v>207</v>
      </c>
      <c r="AP9" s="1130"/>
      <c r="AQ9" s="284">
        <f>+AD12</f>
        <v>105.5</v>
      </c>
      <c r="AR9" s="329">
        <f>AD25</f>
        <v>111</v>
      </c>
      <c r="AT9" s="1124"/>
      <c r="AU9" s="909" t="s">
        <v>543</v>
      </c>
      <c r="AV9" s="909"/>
      <c r="AW9" s="909"/>
      <c r="AX9" s="909"/>
      <c r="AY9" s="909"/>
      <c r="AZ9" s="909"/>
      <c r="BA9" s="909" t="s">
        <v>124</v>
      </c>
      <c r="BB9" s="909"/>
      <c r="BC9" s="909"/>
      <c r="BD9" s="1111" t="str">
        <f>IF(BD8="","",BD8*(1-③基本情報入力【例】!$Y$61)*(③基本情報入力【例】!$AB$61+③基本情報入力【例】!$AB$61/((③基本情報入力【例】!$AB$61+1)^③基本情報入力【例】!$AE$61-1)))</f>
        <v/>
      </c>
      <c r="BE9" s="1111"/>
      <c r="BF9" s="1111"/>
      <c r="BG9" s="1111"/>
      <c r="BH9" s="1111"/>
      <c r="BI9" s="1111"/>
      <c r="BJ9" s="1111"/>
      <c r="BK9" s="1111"/>
      <c r="BL9" s="1111"/>
      <c r="BM9" s="1111"/>
      <c r="BN9" s="1111" t="str">
        <f>IF(BN8="","",BN8*(1-③基本情報入力【例】!$Y$61)*(③基本情報入力【例】!$AB$61+③基本情報入力【例】!$AB$61/((③基本情報入力【例】!$AB$61+1)^③基本情報入力【例】!$AE$61-1)))</f>
        <v/>
      </c>
      <c r="BO9" s="1111"/>
      <c r="BP9" s="1111"/>
      <c r="BQ9" s="1111"/>
      <c r="BR9" s="1111"/>
      <c r="BS9" s="1111" t="str">
        <f>IF(BS8="","",BS8*(1-③基本情報入力【例】!$Y$61)*(③基本情報入力【例】!$AB$61+③基本情報入力【例】!$AB$61/((③基本情報入力【例】!$AB$61+1)^③基本情報入力【例】!$AE$61-1)))</f>
        <v/>
      </c>
      <c r="BT9" s="1111"/>
      <c r="BU9" s="1111"/>
      <c r="BV9" s="1111"/>
      <c r="BW9" s="1111"/>
      <c r="BX9" s="1111" t="str">
        <f>IF(BX8="","",BX8*(1-③基本情報入力【例】!$Y$61)*(③基本情報入力【例】!$AB$61+③基本情報入力【例】!$AB$61/((③基本情報入力【例】!$AB$61+1)^③基本情報入力【例】!$AE$61-1)))</f>
        <v/>
      </c>
      <c r="BY9" s="1111"/>
      <c r="BZ9" s="1111"/>
      <c r="CA9" s="1111"/>
      <c r="CB9" s="1111"/>
      <c r="CC9" s="1111" t="str">
        <f>IF(CC8="","",CC8*(1-③基本情報入力【例】!$Y$61)*(③基本情報入力【例】!$AB$61+③基本情報入力【例】!$AB$61/((③基本情報入力【例】!$AB$61+1)^③基本情報入力【例】!$AE$61-1)))</f>
        <v/>
      </c>
      <c r="CD9" s="1111"/>
      <c r="CE9" s="1111"/>
      <c r="CF9" s="1111"/>
      <c r="CG9" s="1111"/>
      <c r="CH9" s="1111" t="str">
        <f>IF(CH8="","",CH8*(1-③基本情報入力【例】!$Y$61)*(③基本情報入力【例】!$AB$61+③基本情報入力【例】!$AB$61/((③基本情報入力【例】!$AB$61+1)^③基本情報入力【例】!$AE$61-1)))</f>
        <v/>
      </c>
      <c r="CI9" s="1111"/>
      <c r="CJ9" s="1111"/>
      <c r="CK9" s="1111"/>
      <c r="CL9" s="1111"/>
      <c r="CM9" s="1111" t="str">
        <f>IF(CM8="","",CM8*(1-③基本情報入力【例】!$Y$61)*(③基本情報入力【例】!$AB$61+③基本情報入力【例】!$AB$61/((③基本情報入力【例】!$AB$61+1)^③基本情報入力【例】!$AE$61-1)))</f>
        <v/>
      </c>
      <c r="CN9" s="1111"/>
      <c r="CO9" s="1111"/>
      <c r="CP9" s="1111"/>
      <c r="CQ9" s="1111"/>
      <c r="CR9" s="1111">
        <f>IF(CR8="","",CR8*(1-③基本情報入力【例】!$Y$61)*(③基本情報入力【例】!$AB$61+③基本情報入力【例】!$AB$61/((③基本情報入力【例】!$AB$61+1)^③基本情報入力【例】!$AE$61-1)))</f>
        <v>0</v>
      </c>
      <c r="CS9" s="1111"/>
      <c r="CT9" s="1111"/>
      <c r="CU9" s="1111"/>
      <c r="CV9" s="1141"/>
    </row>
    <row r="10" spans="2:100" ht="14.25" thickBot="1">
      <c r="B10" s="1094"/>
      <c r="C10" s="160"/>
      <c r="D10" s="1096" t="s">
        <v>46</v>
      </c>
      <c r="E10" s="1097"/>
      <c r="F10" s="1097"/>
      <c r="G10" s="1097"/>
      <c r="H10" s="1098"/>
      <c r="I10" s="161"/>
      <c r="J10" s="1099">
        <f>CR26</f>
        <v>51.922207375472993</v>
      </c>
      <c r="K10" s="1100"/>
      <c r="L10" s="1100"/>
      <c r="M10" s="408"/>
      <c r="N10" s="256"/>
      <c r="O10" s="1099">
        <f>BS33</f>
        <v>51.59441539059506</v>
      </c>
      <c r="P10" s="1100"/>
      <c r="Q10" s="1100"/>
      <c r="R10" s="408"/>
      <c r="S10" s="256"/>
      <c r="T10" s="1099">
        <f>+'事業費（既存）【例】'!H258</f>
        <v>0</v>
      </c>
      <c r="U10" s="1100"/>
      <c r="V10" s="1100"/>
      <c r="W10" s="408"/>
      <c r="X10" s="256"/>
      <c r="Y10" s="1099">
        <f>+'事業費（既存）【例】'!I258</f>
        <v>0</v>
      </c>
      <c r="Z10" s="1100"/>
      <c r="AA10" s="1100"/>
      <c r="AB10" s="408"/>
      <c r="AC10" s="256"/>
      <c r="AD10" s="1099">
        <f>+SUM(J10,O10,T10,Y10)</f>
        <v>103.51662276606805</v>
      </c>
      <c r="AE10" s="1100"/>
      <c r="AF10" s="1100"/>
      <c r="AG10" s="408"/>
      <c r="AH10" s="256"/>
      <c r="AI10" s="1134">
        <v>100</v>
      </c>
      <c r="AJ10" s="1134"/>
      <c r="AK10" s="1134"/>
      <c r="AL10" s="269"/>
      <c r="AO10" s="1129" t="s">
        <v>123</v>
      </c>
      <c r="AP10" s="1130"/>
      <c r="AQ10" s="284">
        <f>+AD13</f>
        <v>139.29999999999998</v>
      </c>
      <c r="AR10" s="329">
        <f>AD26</f>
        <v>0</v>
      </c>
      <c r="AT10" s="1125"/>
      <c r="AU10" s="934" t="s">
        <v>264</v>
      </c>
      <c r="AV10" s="934"/>
      <c r="AW10" s="934"/>
      <c r="AX10" s="934"/>
      <c r="AY10" s="934"/>
      <c r="AZ10" s="934"/>
      <c r="BA10" s="934" t="s">
        <v>124</v>
      </c>
      <c r="BB10" s="934"/>
      <c r="BC10" s="934"/>
      <c r="BD10" s="1135" t="str">
        <f>IF(③基本情報入力【例】!$L$25="","",③基本情報入力【例】!$L$25)</f>
        <v/>
      </c>
      <c r="BE10" s="1135"/>
      <c r="BF10" s="1135"/>
      <c r="BG10" s="1135"/>
      <c r="BH10" s="1135"/>
      <c r="BI10" s="1135"/>
      <c r="BJ10" s="1135"/>
      <c r="BK10" s="1135"/>
      <c r="BL10" s="1135"/>
      <c r="BM10" s="1135"/>
      <c r="BN10" s="1135" t="str">
        <f>IF(③基本情報入力【例】!$V$25=0,"",③基本情報入力【例】!$V$25)</f>
        <v/>
      </c>
      <c r="BO10" s="1135"/>
      <c r="BP10" s="1135"/>
      <c r="BQ10" s="1135"/>
      <c r="BR10" s="1135"/>
      <c r="BS10" s="1135" t="str">
        <f>IF(③基本情報入力【例】!$AA$25=0,"",③基本情報入力【例】!$AA$25)</f>
        <v/>
      </c>
      <c r="BT10" s="1135"/>
      <c r="BU10" s="1135"/>
      <c r="BV10" s="1135"/>
      <c r="BW10" s="1135"/>
      <c r="BX10" s="1135" t="str">
        <f>IF(③基本情報入力【例】!$AF$25=0,"",③基本情報入力【例】!$AF$25)</f>
        <v/>
      </c>
      <c r="BY10" s="1135"/>
      <c r="BZ10" s="1135"/>
      <c r="CA10" s="1135"/>
      <c r="CB10" s="1135"/>
      <c r="CC10" s="1135" t="str">
        <f>IF(③基本情報入力【例】!$AK$25=0,"",③基本情報入力【例】!$AK$25)</f>
        <v/>
      </c>
      <c r="CD10" s="1135"/>
      <c r="CE10" s="1135"/>
      <c r="CF10" s="1135"/>
      <c r="CG10" s="1135"/>
      <c r="CH10" s="1135" t="str">
        <f>IF(③基本情報入力【例】!$AP$25=0,"",③基本情報入力【例】!$AP$25)</f>
        <v/>
      </c>
      <c r="CI10" s="1135"/>
      <c r="CJ10" s="1135"/>
      <c r="CK10" s="1135"/>
      <c r="CL10" s="1135"/>
      <c r="CM10" s="1135" t="str">
        <f>IF(③基本情報入力【例】!$AU$25=0,"",③基本情報入力【例】!$AU$25)</f>
        <v/>
      </c>
      <c r="CN10" s="1135"/>
      <c r="CO10" s="1135"/>
      <c r="CP10" s="1135"/>
      <c r="CQ10" s="1135"/>
      <c r="CR10" s="1135">
        <f>SUM(BD10:CQ10)</f>
        <v>0</v>
      </c>
      <c r="CS10" s="1135"/>
      <c r="CT10" s="1135"/>
      <c r="CU10" s="1135"/>
      <c r="CV10" s="1142"/>
    </row>
    <row r="11" spans="2:100" ht="14.25" thickBot="1">
      <c r="B11" s="1094"/>
      <c r="C11" s="160"/>
      <c r="D11" s="1096" t="s">
        <v>17</v>
      </c>
      <c r="E11" s="1097"/>
      <c r="F11" s="1097"/>
      <c r="G11" s="1097"/>
      <c r="H11" s="1098"/>
      <c r="I11" s="161"/>
      <c r="J11" s="1099">
        <f>CR27</f>
        <v>35.272605005989575</v>
      </c>
      <c r="K11" s="1100"/>
      <c r="L11" s="1100"/>
      <c r="M11" s="408"/>
      <c r="N11" s="256"/>
      <c r="O11" s="1099">
        <f>BS34</f>
        <v>65.480999999999995</v>
      </c>
      <c r="P11" s="1100"/>
      <c r="Q11" s="1100"/>
      <c r="R11" s="408"/>
      <c r="S11" s="256"/>
      <c r="T11" s="1099">
        <f>+'事業費（既存）【例】'!H259</f>
        <v>0</v>
      </c>
      <c r="U11" s="1100"/>
      <c r="V11" s="1100"/>
      <c r="W11" s="408"/>
      <c r="X11" s="256"/>
      <c r="Y11" s="1099">
        <f>+'事業費（既存）【例】'!I259</f>
        <v>0</v>
      </c>
      <c r="Z11" s="1100"/>
      <c r="AA11" s="1100"/>
      <c r="AB11" s="408"/>
      <c r="AC11" s="256"/>
      <c r="AD11" s="1099">
        <f t="shared" ref="AD11:AD13" si="0">+SUM(J11,O11,T11,Y11)</f>
        <v>100.75360500598957</v>
      </c>
      <c r="AE11" s="1100"/>
      <c r="AF11" s="1100"/>
      <c r="AG11" s="408"/>
      <c r="AH11" s="256"/>
      <c r="AI11" s="1134">
        <v>100</v>
      </c>
      <c r="AJ11" s="1134"/>
      <c r="AK11" s="1134"/>
      <c r="AL11" s="269"/>
      <c r="AO11" s="1122" t="s">
        <v>349</v>
      </c>
      <c r="AP11" s="2" t="s">
        <v>347</v>
      </c>
      <c r="AQ11" s="284">
        <f>+AD14</f>
        <v>449.07022777205759</v>
      </c>
      <c r="AR11" s="329">
        <f>AD27</f>
        <v>370.08356079840615</v>
      </c>
      <c r="AT11" s="434"/>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1"/>
      <c r="CS11" s="1"/>
      <c r="CT11" s="1"/>
      <c r="CU11" s="1"/>
      <c r="CV11" s="436"/>
    </row>
    <row r="12" spans="2:100" ht="14.25" thickBot="1">
      <c r="B12" s="1094"/>
      <c r="C12" s="160"/>
      <c r="D12" s="1096" t="s">
        <v>207</v>
      </c>
      <c r="E12" s="1097"/>
      <c r="F12" s="1097"/>
      <c r="G12" s="1097"/>
      <c r="H12" s="1098"/>
      <c r="I12" s="161"/>
      <c r="J12" s="1099">
        <f>+'事業費（既存）【例】'!F260</f>
        <v>0</v>
      </c>
      <c r="K12" s="1100"/>
      <c r="L12" s="1100"/>
      <c r="M12" s="408"/>
      <c r="N12" s="256"/>
      <c r="O12" s="1099">
        <f>+'事業費（既存）【例】'!G260</f>
        <v>89.3</v>
      </c>
      <c r="P12" s="1100"/>
      <c r="Q12" s="1100"/>
      <c r="R12" s="408"/>
      <c r="S12" s="256"/>
      <c r="T12" s="1099">
        <f>+'事業費（既存）【例】'!H260</f>
        <v>16.2</v>
      </c>
      <c r="U12" s="1100"/>
      <c r="V12" s="1100"/>
      <c r="W12" s="408"/>
      <c r="X12" s="256"/>
      <c r="Y12" s="1099">
        <f>+'事業費（既存）【例】'!I260</f>
        <v>0</v>
      </c>
      <c r="Z12" s="1100"/>
      <c r="AA12" s="1100"/>
      <c r="AB12" s="408"/>
      <c r="AC12" s="256"/>
      <c r="AD12" s="1099">
        <f t="shared" si="0"/>
        <v>105.5</v>
      </c>
      <c r="AE12" s="1100"/>
      <c r="AF12" s="1100"/>
      <c r="AG12" s="408"/>
      <c r="AH12" s="256"/>
      <c r="AI12" s="1134">
        <v>100</v>
      </c>
      <c r="AJ12" s="1134"/>
      <c r="AK12" s="1134"/>
      <c r="AL12" s="269"/>
      <c r="AO12" s="1143"/>
      <c r="AP12" s="285" t="s">
        <v>348</v>
      </c>
      <c r="AQ12" s="286">
        <f>+AD15</f>
        <v>403.48685663665111</v>
      </c>
      <c r="AR12" s="330">
        <f>AD28</f>
        <v>292.41693378291563</v>
      </c>
      <c r="AT12" s="1010" t="s">
        <v>23</v>
      </c>
      <c r="AU12" s="1011"/>
      <c r="AV12" s="1011"/>
      <c r="AW12" s="1011"/>
      <c r="AX12" s="1011"/>
      <c r="AY12" s="1011"/>
      <c r="AZ12" s="1011"/>
      <c r="BA12" s="1011" t="s">
        <v>24</v>
      </c>
      <c r="BB12" s="1011"/>
      <c r="BC12" s="1011"/>
      <c r="BD12" s="1011" t="s">
        <v>321</v>
      </c>
      <c r="BE12" s="1011"/>
      <c r="BF12" s="1011"/>
      <c r="BG12" s="1011"/>
      <c r="BH12" s="1011"/>
      <c r="BI12" s="1011" t="s">
        <v>322</v>
      </c>
      <c r="BJ12" s="1011"/>
      <c r="BK12" s="1011"/>
      <c r="BL12" s="1011"/>
      <c r="BM12" s="1011"/>
      <c r="BN12" s="1011" t="s">
        <v>323</v>
      </c>
      <c r="BO12" s="1011"/>
      <c r="BP12" s="1011"/>
      <c r="BQ12" s="1011"/>
      <c r="BR12" s="1011"/>
      <c r="BS12" s="1011"/>
      <c r="BT12" s="1011"/>
      <c r="BU12" s="1011"/>
      <c r="BV12" s="1011"/>
      <c r="BW12" s="1020"/>
      <c r="BX12" s="1"/>
      <c r="BY12" s="1"/>
      <c r="BZ12" s="1"/>
      <c r="CA12" s="1"/>
      <c r="CB12" s="1"/>
      <c r="CC12" s="1"/>
      <c r="CD12" s="1"/>
      <c r="CE12" s="1"/>
      <c r="CF12" s="1"/>
      <c r="CG12" s="1"/>
      <c r="CH12" s="1"/>
      <c r="CI12" s="1"/>
      <c r="CJ12" s="1"/>
      <c r="CK12" s="1"/>
      <c r="CL12" s="1"/>
      <c r="CM12" s="1"/>
      <c r="CN12" s="1"/>
      <c r="CO12" s="1"/>
      <c r="CP12" s="1"/>
      <c r="CQ12" s="1"/>
      <c r="CR12" s="1"/>
      <c r="CS12" s="1"/>
      <c r="CT12" s="1"/>
      <c r="CU12" s="1"/>
      <c r="CV12" s="436"/>
    </row>
    <row r="13" spans="2:100">
      <c r="B13" s="1094"/>
      <c r="C13" s="160"/>
      <c r="D13" s="1096" t="s">
        <v>123</v>
      </c>
      <c r="E13" s="1097"/>
      <c r="F13" s="1097"/>
      <c r="G13" s="1097"/>
      <c r="H13" s="1098"/>
      <c r="I13" s="161"/>
      <c r="J13" s="1099">
        <f>+'事業費（既存）【例】'!F261</f>
        <v>39.79999999999999</v>
      </c>
      <c r="K13" s="1100"/>
      <c r="L13" s="1100"/>
      <c r="M13" s="408"/>
      <c r="N13" s="256"/>
      <c r="O13" s="1144">
        <f>+'事業費（既存）【例】'!G261</f>
        <v>58.5</v>
      </c>
      <c r="P13" s="1145"/>
      <c r="Q13" s="1145"/>
      <c r="R13" s="410"/>
      <c r="S13" s="258"/>
      <c r="T13" s="1099">
        <f>+'事業費（既存）【例】'!H261</f>
        <v>41</v>
      </c>
      <c r="U13" s="1100"/>
      <c r="V13" s="1100"/>
      <c r="W13" s="408"/>
      <c r="X13" s="256"/>
      <c r="Y13" s="1099">
        <f>+'事業費（既存）【例】'!I261</f>
        <v>0</v>
      </c>
      <c r="Z13" s="1100"/>
      <c r="AA13" s="1100"/>
      <c r="AB13" s="408"/>
      <c r="AC13" s="256"/>
      <c r="AD13" s="1099">
        <f t="shared" si="0"/>
        <v>139.29999999999998</v>
      </c>
      <c r="AE13" s="1100"/>
      <c r="AF13" s="1100"/>
      <c r="AG13" s="408"/>
      <c r="AH13" s="256"/>
      <c r="AI13" s="1134">
        <v>100</v>
      </c>
      <c r="AJ13" s="1134"/>
      <c r="AK13" s="1134"/>
      <c r="AL13" s="269"/>
      <c r="AT13" s="1124" t="s">
        <v>533</v>
      </c>
      <c r="AU13" s="922" t="s">
        <v>275</v>
      </c>
      <c r="AV13" s="922"/>
      <c r="AW13" s="922"/>
      <c r="AX13" s="922"/>
      <c r="AY13" s="922"/>
      <c r="AZ13" s="922"/>
      <c r="BA13" s="922" t="s">
        <v>217</v>
      </c>
      <c r="BB13" s="922"/>
      <c r="BC13" s="922"/>
      <c r="BD13" s="1043" t="str">
        <f>+③基本情報入力【例】!$L$29</f>
        <v>A市・B町・C町</v>
      </c>
      <c r="BE13" s="1043"/>
      <c r="BF13" s="1043"/>
      <c r="BG13" s="1043"/>
      <c r="BH13" s="1043"/>
      <c r="BI13" s="1043" t="str">
        <f>+③基本情報入力【例】!$Q$29</f>
        <v>A市・B町・C町</v>
      </c>
      <c r="BJ13" s="1043"/>
      <c r="BK13" s="1043"/>
      <c r="BL13" s="1043"/>
      <c r="BM13" s="1043"/>
      <c r="BN13" s="1043" t="str">
        <f>+③基本情報入力【例】!$V$29</f>
        <v>A市・B町・C町</v>
      </c>
      <c r="BO13" s="1043"/>
      <c r="BP13" s="1043"/>
      <c r="BQ13" s="1043"/>
      <c r="BR13" s="1043"/>
      <c r="BS13" s="922" t="s">
        <v>39</v>
      </c>
      <c r="BT13" s="922"/>
      <c r="BU13" s="922"/>
      <c r="BV13" s="922"/>
      <c r="BW13" s="1061"/>
      <c r="BX13" s="1"/>
      <c r="BY13" s="1"/>
      <c r="BZ13" s="1"/>
      <c r="CA13" s="1"/>
      <c r="CB13" s="1"/>
      <c r="CC13" s="1"/>
      <c r="CD13" s="1"/>
      <c r="CE13" s="1"/>
      <c r="CF13" s="1"/>
      <c r="CG13" s="1"/>
      <c r="CH13" s="1"/>
      <c r="CI13" s="1"/>
      <c r="CJ13" s="1"/>
      <c r="CK13" s="1"/>
      <c r="CL13" s="1"/>
      <c r="CM13" s="1"/>
      <c r="CN13" s="1"/>
      <c r="CO13" s="1"/>
      <c r="CP13" s="1"/>
      <c r="CQ13" s="1"/>
      <c r="CR13" s="1"/>
      <c r="CS13" s="1"/>
      <c r="CT13" s="1"/>
      <c r="CU13" s="1"/>
      <c r="CV13" s="436"/>
    </row>
    <row r="14" spans="2:100">
      <c r="B14" s="1094"/>
      <c r="C14" s="160"/>
      <c r="D14" s="1103" t="s">
        <v>349</v>
      </c>
      <c r="E14" s="1104"/>
      <c r="F14" s="1105"/>
      <c r="G14" s="288" t="s">
        <v>347</v>
      </c>
      <c r="H14" s="289"/>
      <c r="I14" s="290"/>
      <c r="J14" s="1109">
        <f>SUM(J10:L13)</f>
        <v>126.99481238146257</v>
      </c>
      <c r="K14" s="1110"/>
      <c r="L14" s="1110"/>
      <c r="M14" s="412"/>
      <c r="N14" s="291"/>
      <c r="O14" s="1109">
        <f>SUM(O10:Q13)</f>
        <v>264.87541539059504</v>
      </c>
      <c r="P14" s="1110"/>
      <c r="Q14" s="1110"/>
      <c r="R14" s="412"/>
      <c r="S14" s="291"/>
      <c r="T14" s="1109">
        <f>SUM(T10:V13)</f>
        <v>57.2</v>
      </c>
      <c r="U14" s="1110"/>
      <c r="V14" s="1110"/>
      <c r="W14" s="412"/>
      <c r="X14" s="291"/>
      <c r="Y14" s="1109">
        <f>SUM(Y10:AA13)</f>
        <v>0</v>
      </c>
      <c r="Z14" s="1110"/>
      <c r="AA14" s="1110"/>
      <c r="AB14" s="412"/>
      <c r="AC14" s="291"/>
      <c r="AD14" s="1109">
        <f>+SUM(J14,O14,T14,Y14)</f>
        <v>449.07022777205759</v>
      </c>
      <c r="AE14" s="1110"/>
      <c r="AF14" s="1110"/>
      <c r="AG14" s="412"/>
      <c r="AH14" s="291"/>
      <c r="AI14" s="1150">
        <v>100</v>
      </c>
      <c r="AJ14" s="1151"/>
      <c r="AK14" s="1151"/>
      <c r="AL14" s="292"/>
      <c r="AT14" s="1124"/>
      <c r="AU14" s="909" t="s">
        <v>158</v>
      </c>
      <c r="AV14" s="909"/>
      <c r="AW14" s="909"/>
      <c r="AX14" s="909"/>
      <c r="AY14" s="909"/>
      <c r="AZ14" s="909"/>
      <c r="BA14" s="909" t="s">
        <v>148</v>
      </c>
      <c r="BB14" s="909"/>
      <c r="BC14" s="909"/>
      <c r="BD14" s="922" t="s">
        <v>541</v>
      </c>
      <c r="BE14" s="922"/>
      <c r="BF14" s="922"/>
      <c r="BG14" s="922"/>
      <c r="BH14" s="922"/>
      <c r="BI14" s="922"/>
      <c r="BJ14" s="922"/>
      <c r="BK14" s="922"/>
      <c r="BL14" s="922"/>
      <c r="BM14" s="922"/>
      <c r="BN14" s="922" t="s">
        <v>542</v>
      </c>
      <c r="BO14" s="922"/>
      <c r="BP14" s="922"/>
      <c r="BQ14" s="922"/>
      <c r="BR14" s="922"/>
      <c r="BS14" s="1043" t="s">
        <v>217</v>
      </c>
      <c r="BT14" s="1043"/>
      <c r="BU14" s="1043"/>
      <c r="BV14" s="1043"/>
      <c r="BW14" s="1136"/>
      <c r="BX14" s="1"/>
      <c r="BY14" s="1"/>
      <c r="BZ14" s="1"/>
      <c r="CA14" s="1"/>
      <c r="CB14" s="1"/>
      <c r="CC14" s="1"/>
      <c r="CD14" s="1"/>
      <c r="CE14" s="1"/>
      <c r="CF14" s="1"/>
      <c r="CG14" s="1"/>
      <c r="CH14" s="1"/>
      <c r="CI14" s="1"/>
      <c r="CJ14" s="1"/>
      <c r="CK14" s="1"/>
      <c r="CL14" s="1"/>
      <c r="CM14" s="1"/>
      <c r="CN14" s="1"/>
      <c r="CO14" s="1"/>
      <c r="CP14" s="1"/>
      <c r="CQ14" s="1"/>
      <c r="CR14" s="1"/>
      <c r="CS14" s="1"/>
      <c r="CT14" s="1"/>
      <c r="CU14" s="1"/>
      <c r="CV14" s="436"/>
    </row>
    <row r="15" spans="2:100" ht="14.25" thickBot="1">
      <c r="B15" s="1095"/>
      <c r="C15" s="165"/>
      <c r="D15" s="1106"/>
      <c r="E15" s="1107"/>
      <c r="F15" s="1108"/>
      <c r="G15" s="293" t="s">
        <v>348</v>
      </c>
      <c r="H15" s="294"/>
      <c r="I15" s="295"/>
      <c r="J15" s="1146">
        <f>J10*0.45+J11+J12+J13</f>
        <v>98.437598324952404</v>
      </c>
      <c r="K15" s="1147"/>
      <c r="L15" s="1147"/>
      <c r="M15" s="411"/>
      <c r="N15" s="296"/>
      <c r="O15" s="1146">
        <f>O10*0.67+O11+O12+O13</f>
        <v>247.84925831169869</v>
      </c>
      <c r="P15" s="1147"/>
      <c r="Q15" s="1147"/>
      <c r="R15" s="411"/>
      <c r="S15" s="296"/>
      <c r="T15" s="1146">
        <f>T10*0.67+T11+T12+T13</f>
        <v>57.2</v>
      </c>
      <c r="U15" s="1147"/>
      <c r="V15" s="1147"/>
      <c r="W15" s="411"/>
      <c r="X15" s="296"/>
      <c r="Y15" s="1146">
        <f>Y10*0.67+Y11+Y12+Y13</f>
        <v>0</v>
      </c>
      <c r="Z15" s="1147"/>
      <c r="AA15" s="1147"/>
      <c r="AB15" s="411"/>
      <c r="AC15" s="296"/>
      <c r="AD15" s="1146">
        <f>+SUM(J15,O15,T15,Y15)</f>
        <v>403.48685663665111</v>
      </c>
      <c r="AE15" s="1147"/>
      <c r="AF15" s="1147"/>
      <c r="AG15" s="411"/>
      <c r="AH15" s="296"/>
      <c r="AI15" s="1148">
        <v>100</v>
      </c>
      <c r="AJ15" s="1149"/>
      <c r="AK15" s="1149"/>
      <c r="AL15" s="297"/>
      <c r="AT15" s="1124"/>
      <c r="AU15" s="909" t="s">
        <v>534</v>
      </c>
      <c r="AV15" s="909"/>
      <c r="AW15" s="909"/>
      <c r="AX15" s="909"/>
      <c r="AY15" s="909"/>
      <c r="AZ15" s="909"/>
      <c r="BA15" s="909" t="s">
        <v>120</v>
      </c>
      <c r="BB15" s="909"/>
      <c r="BC15" s="909"/>
      <c r="BD15" s="1111" t="str">
        <f>IF(③基本情報入力【例】!$L$41="","",③基本情報入力【例】!$L$41)</f>
        <v/>
      </c>
      <c r="BE15" s="1111"/>
      <c r="BF15" s="1111"/>
      <c r="BG15" s="1111"/>
      <c r="BH15" s="1111"/>
      <c r="BI15" s="1111"/>
      <c r="BJ15" s="1111"/>
      <c r="BK15" s="1111"/>
      <c r="BL15" s="1111"/>
      <c r="BM15" s="1111"/>
      <c r="BN15" s="1111" t="str">
        <f>IF(③基本情報入力【例】!V41="","",③基本情報入力【例】!$V$41)</f>
        <v/>
      </c>
      <c r="BO15" s="1111"/>
      <c r="BP15" s="1111"/>
      <c r="BQ15" s="1111"/>
      <c r="BR15" s="1111"/>
      <c r="BS15" s="1111">
        <f>SUM(BD15:BR15)</f>
        <v>0</v>
      </c>
      <c r="BT15" s="1111"/>
      <c r="BU15" s="1111"/>
      <c r="BV15" s="1111"/>
      <c r="BW15" s="1141"/>
      <c r="BX15" s="1"/>
      <c r="BY15" s="1"/>
      <c r="BZ15" s="1"/>
      <c r="CA15" s="1"/>
      <c r="CB15" s="1"/>
      <c r="CC15" s="1"/>
      <c r="CD15" s="1"/>
      <c r="CE15" s="1"/>
      <c r="CF15" s="1"/>
      <c r="CG15" s="1"/>
      <c r="CH15" s="1"/>
      <c r="CI15" s="1"/>
      <c r="CJ15" s="1"/>
      <c r="CK15" s="1"/>
      <c r="CL15" s="1"/>
      <c r="CM15" s="1"/>
      <c r="CN15" s="1"/>
      <c r="CO15" s="1"/>
      <c r="CP15" s="1"/>
      <c r="CQ15" s="1"/>
      <c r="CR15" s="1"/>
      <c r="CS15" s="1"/>
      <c r="CT15" s="1"/>
      <c r="CU15" s="1"/>
      <c r="CV15" s="436"/>
    </row>
    <row r="16" spans="2:100">
      <c r="B16" s="413"/>
      <c r="C16" s="230"/>
      <c r="D16" s="413"/>
      <c r="E16" s="413"/>
      <c r="F16" s="413"/>
      <c r="G16" s="225"/>
      <c r="H16" s="1"/>
      <c r="I16" s="227"/>
      <c r="J16" s="226"/>
      <c r="K16" s="226"/>
      <c r="L16" s="226"/>
      <c r="M16" s="227"/>
      <c r="N16" s="227"/>
      <c r="O16" s="226"/>
      <c r="P16" s="226"/>
      <c r="Q16" s="227"/>
      <c r="R16" s="227"/>
      <c r="S16" s="226"/>
      <c r="T16" s="226"/>
      <c r="U16" s="226"/>
      <c r="V16" s="227"/>
      <c r="W16" s="227"/>
      <c r="X16" s="226"/>
      <c r="Y16" s="226"/>
      <c r="Z16" s="226"/>
      <c r="AA16" s="227"/>
      <c r="AB16" s="227"/>
      <c r="AC16" s="226"/>
      <c r="AD16" s="226"/>
      <c r="AE16" s="226"/>
      <c r="AF16" s="227"/>
      <c r="AG16" s="227"/>
      <c r="AH16" s="228"/>
      <c r="AI16" s="228"/>
      <c r="AJ16" s="228"/>
      <c r="AK16" s="229"/>
      <c r="AT16" s="1124"/>
      <c r="AU16" s="909" t="s">
        <v>543</v>
      </c>
      <c r="AV16" s="909"/>
      <c r="AW16" s="909"/>
      <c r="AX16" s="909"/>
      <c r="AY16" s="909"/>
      <c r="AZ16" s="909"/>
      <c r="BA16" s="909" t="s">
        <v>124</v>
      </c>
      <c r="BB16" s="909"/>
      <c r="BC16" s="909"/>
      <c r="BD16" s="1111" t="str">
        <f>IF(BD15="","",BD15*(1-③基本情報入力【例】!$Y$61)*(③基本情報入力【例】!$AB$61+③基本情報入力【例】!$AB$61/((③基本情報入力【例】!$AB$61+1)^③基本情報入力【例】!$AE$61-1)))</f>
        <v/>
      </c>
      <c r="BE16" s="1111"/>
      <c r="BF16" s="1111"/>
      <c r="BG16" s="1111"/>
      <c r="BH16" s="1111"/>
      <c r="BI16" s="1111"/>
      <c r="BJ16" s="1111"/>
      <c r="BK16" s="1111"/>
      <c r="BL16" s="1111"/>
      <c r="BM16" s="1111"/>
      <c r="BN16" s="1111" t="str">
        <f>IF(BN15="","",BN15*(1-③基本情報入力【例】!$Y$61)*(③基本情報入力【例】!$AB$61+③基本情報入力【例】!$AB$61/((③基本情報入力【例】!$AB$61+1)^③基本情報入力【例】!$AE$61-1)))</f>
        <v/>
      </c>
      <c r="BO16" s="1111"/>
      <c r="BP16" s="1111"/>
      <c r="BQ16" s="1111"/>
      <c r="BR16" s="1111"/>
      <c r="BS16" s="1111">
        <f t="shared" ref="BS16:BS17" si="1">SUM(BD16:BR16)</f>
        <v>0</v>
      </c>
      <c r="BT16" s="1111"/>
      <c r="BU16" s="1111"/>
      <c r="BV16" s="1111"/>
      <c r="BW16" s="1141"/>
      <c r="BX16" s="1"/>
      <c r="BY16" s="1"/>
      <c r="BZ16" s="1"/>
      <c r="CA16" s="1"/>
      <c r="CB16" s="1"/>
      <c r="CC16" s="1"/>
      <c r="CD16" s="1"/>
      <c r="CE16" s="1"/>
      <c r="CF16" s="1"/>
      <c r="CG16" s="1"/>
      <c r="CH16" s="1"/>
      <c r="CI16" s="1"/>
      <c r="CJ16" s="1"/>
      <c r="CK16" s="1"/>
      <c r="CL16" s="1"/>
      <c r="CM16" s="1"/>
      <c r="CN16" s="1"/>
      <c r="CO16" s="1"/>
      <c r="CP16" s="1"/>
      <c r="CQ16" s="1"/>
      <c r="CR16" s="1"/>
      <c r="CS16" s="1"/>
      <c r="CT16" s="1"/>
      <c r="CU16" s="1"/>
      <c r="CV16" s="436"/>
    </row>
    <row r="17" spans="2:100" ht="14.25" thickBot="1">
      <c r="B17" s="1157" t="s">
        <v>711</v>
      </c>
      <c r="C17" s="1157"/>
      <c r="D17" s="1157"/>
      <c r="E17" s="1157"/>
      <c r="F17" s="1157"/>
      <c r="G17" s="1157"/>
      <c r="H17" s="1157"/>
      <c r="I17" s="1157"/>
      <c r="J17" s="1157"/>
      <c r="K17" s="1157"/>
      <c r="L17" s="1157"/>
      <c r="M17" s="1157"/>
      <c r="N17" s="1157"/>
      <c r="O17" s="1157"/>
      <c r="P17" s="1157"/>
      <c r="Q17" s="1157"/>
      <c r="R17" s="1157"/>
      <c r="S17" s="1157"/>
      <c r="T17" s="1157"/>
      <c r="U17" s="1157"/>
      <c r="V17" s="1157"/>
      <c r="W17" s="1157"/>
      <c r="X17" s="1157"/>
      <c r="Y17" s="1157"/>
      <c r="Z17" s="1157"/>
      <c r="AA17" s="1157"/>
      <c r="AB17" s="1157"/>
      <c r="AC17" s="1157"/>
      <c r="AD17" s="1157"/>
      <c r="AE17" s="1157"/>
      <c r="AF17" s="1157"/>
      <c r="AG17" s="1157"/>
      <c r="AH17" s="1157"/>
      <c r="AI17" s="1157"/>
      <c r="AJ17" s="1157"/>
      <c r="AK17" s="1157"/>
      <c r="AL17" s="1157"/>
      <c r="AT17" s="1125"/>
      <c r="AU17" s="934" t="s">
        <v>264</v>
      </c>
      <c r="AV17" s="934"/>
      <c r="AW17" s="934"/>
      <c r="AX17" s="934"/>
      <c r="AY17" s="934"/>
      <c r="AZ17" s="934"/>
      <c r="BA17" s="934" t="s">
        <v>124</v>
      </c>
      <c r="BB17" s="934"/>
      <c r="BC17" s="934"/>
      <c r="BD17" s="1135" t="str">
        <f>IF(③基本情報入力【例】!L42="","",③基本情報入力【例】!$L$42)</f>
        <v/>
      </c>
      <c r="BE17" s="1135"/>
      <c r="BF17" s="1135"/>
      <c r="BG17" s="1135"/>
      <c r="BH17" s="1135"/>
      <c r="BI17" s="1135"/>
      <c r="BJ17" s="1135"/>
      <c r="BK17" s="1135"/>
      <c r="BL17" s="1135"/>
      <c r="BM17" s="1135"/>
      <c r="BN17" s="1135" t="str">
        <f>IF(③基本情報入力【例】!V42="","",③基本情報入力【例】!$V$42)</f>
        <v/>
      </c>
      <c r="BO17" s="1135"/>
      <c r="BP17" s="1135"/>
      <c r="BQ17" s="1135"/>
      <c r="BR17" s="1135"/>
      <c r="BS17" s="1135">
        <f t="shared" si="1"/>
        <v>0</v>
      </c>
      <c r="BT17" s="1135"/>
      <c r="BU17" s="1135"/>
      <c r="BV17" s="1135"/>
      <c r="BW17" s="1142"/>
      <c r="BX17" s="1"/>
      <c r="BY17" s="1"/>
      <c r="BZ17" s="1"/>
      <c r="CA17" s="1"/>
      <c r="CB17" s="1"/>
      <c r="CC17" s="1"/>
      <c r="CD17" s="1"/>
      <c r="CE17" s="1"/>
      <c r="CF17" s="1"/>
      <c r="CG17" s="1"/>
      <c r="CH17" s="1"/>
      <c r="CI17" s="1"/>
      <c r="CJ17" s="1"/>
      <c r="CK17" s="1"/>
      <c r="CL17" s="1"/>
      <c r="CM17" s="1"/>
      <c r="CN17" s="1"/>
      <c r="CO17" s="1"/>
      <c r="CP17" s="1"/>
      <c r="CQ17" s="1"/>
      <c r="CR17" s="1"/>
      <c r="CS17" s="1"/>
      <c r="CT17" s="1"/>
      <c r="CU17" s="1"/>
      <c r="CV17" s="436"/>
    </row>
    <row r="18" spans="2:100">
      <c r="B18" s="1158" t="s">
        <v>721</v>
      </c>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60"/>
      <c r="AT18" s="437"/>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436"/>
    </row>
    <row r="19" spans="2:100">
      <c r="B19" s="1155"/>
      <c r="C19" s="1131" t="s">
        <v>488</v>
      </c>
      <c r="D19" s="1132"/>
      <c r="E19" s="1132"/>
      <c r="F19" s="1132"/>
      <c r="G19" s="1132"/>
      <c r="H19" s="1133"/>
      <c r="I19" s="159"/>
      <c r="J19" s="1101" t="s">
        <v>344</v>
      </c>
      <c r="K19" s="1102"/>
      <c r="L19" s="1102"/>
      <c r="M19" s="1102"/>
      <c r="N19" s="1102"/>
      <c r="O19" s="1101" t="s">
        <v>194</v>
      </c>
      <c r="P19" s="1102"/>
      <c r="Q19" s="1102"/>
      <c r="R19" s="1102"/>
      <c r="S19" s="1102"/>
      <c r="T19" s="1101" t="s">
        <v>345</v>
      </c>
      <c r="U19" s="1102"/>
      <c r="V19" s="1102"/>
      <c r="W19" s="1102"/>
      <c r="X19" s="1102"/>
      <c r="Y19" s="1101" t="s">
        <v>342</v>
      </c>
      <c r="Z19" s="1102"/>
      <c r="AA19" s="1102"/>
      <c r="AB19" s="1102"/>
      <c r="AC19" s="1102"/>
      <c r="AD19" s="1101" t="s">
        <v>39</v>
      </c>
      <c r="AE19" s="1102"/>
      <c r="AF19" s="1102"/>
      <c r="AG19" s="1102"/>
      <c r="AH19" s="1120"/>
      <c r="AI19" s="1101" t="s">
        <v>447</v>
      </c>
      <c r="AJ19" s="1102"/>
      <c r="AK19" s="1102"/>
      <c r="AL19" s="1121"/>
      <c r="AT19" s="437" t="s">
        <v>544</v>
      </c>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436"/>
    </row>
    <row r="20" spans="2:100">
      <c r="B20" s="1155"/>
      <c r="C20" s="160"/>
      <c r="D20" s="1112" t="s">
        <v>346</v>
      </c>
      <c r="E20" s="1113"/>
      <c r="F20" s="1114"/>
      <c r="G20" s="1096" t="s">
        <v>347</v>
      </c>
      <c r="H20" s="1098"/>
      <c r="I20" s="161"/>
      <c r="J20" s="1099">
        <f>+'事業費（いしかわモデル）【例】'!F197</f>
        <v>2909.2995528165657</v>
      </c>
      <c r="K20" s="1100"/>
      <c r="L20" s="1100"/>
      <c r="M20" s="408"/>
      <c r="N20" s="256"/>
      <c r="O20" s="1099">
        <f>+'事業費（いしかわモデル）【例】'!G197</f>
        <v>0</v>
      </c>
      <c r="P20" s="1100"/>
      <c r="Q20" s="1100"/>
      <c r="R20" s="408"/>
      <c r="S20" s="256"/>
      <c r="T20" s="1099">
        <f>+'事業費（いしかわモデル）【例】'!H197</f>
        <v>-541.73951999999997</v>
      </c>
      <c r="U20" s="1100"/>
      <c r="V20" s="1100"/>
      <c r="W20" s="408"/>
      <c r="X20" s="256"/>
      <c r="Y20" s="1099">
        <f>+'事業費（いしかわモデル）【例】'!I197</f>
        <v>0</v>
      </c>
      <c r="Z20" s="1100"/>
      <c r="AA20" s="1100"/>
      <c r="AB20" s="408"/>
      <c r="AC20" s="256"/>
      <c r="AD20" s="1099">
        <f>+SUM(J20,O20,T20,Y20)</f>
        <v>2367.5600328165656</v>
      </c>
      <c r="AE20" s="1100"/>
      <c r="AF20" s="1100"/>
      <c r="AG20" s="408"/>
      <c r="AH20" s="256"/>
      <c r="AI20" s="1118">
        <f>IFERROR(AD20/AD7*100,"ERROR")</f>
        <v>136.97487986865414</v>
      </c>
      <c r="AJ20" s="1119"/>
      <c r="AK20" s="1119"/>
      <c r="AL20" s="269"/>
      <c r="AT20" s="437"/>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436"/>
    </row>
    <row r="21" spans="2:100" ht="14.25" thickBot="1">
      <c r="B21" s="1155"/>
      <c r="C21" s="162"/>
      <c r="D21" s="1115"/>
      <c r="E21" s="1116"/>
      <c r="F21" s="1117"/>
      <c r="G21" s="1137" t="s">
        <v>348</v>
      </c>
      <c r="H21" s="1138"/>
      <c r="I21" s="163"/>
      <c r="J21" s="1139">
        <f>+ROUND(J20*0.45,0)</f>
        <v>1309</v>
      </c>
      <c r="K21" s="1140"/>
      <c r="L21" s="1140"/>
      <c r="M21" s="409"/>
      <c r="N21" s="257"/>
      <c r="O21" s="1139">
        <f>+ROUND(O20*0.67,0)</f>
        <v>0</v>
      </c>
      <c r="P21" s="1140"/>
      <c r="Q21" s="1140"/>
      <c r="R21" s="409"/>
      <c r="S21" s="257"/>
      <c r="T21" s="1139">
        <f>+ROUND(T20*0.67,0)</f>
        <v>-363</v>
      </c>
      <c r="U21" s="1140"/>
      <c r="V21" s="1140"/>
      <c r="W21" s="409"/>
      <c r="X21" s="257"/>
      <c r="Y21" s="1139">
        <f>+ROUND(Y20*0.67,0)</f>
        <v>0</v>
      </c>
      <c r="Z21" s="1140"/>
      <c r="AA21" s="1140"/>
      <c r="AB21" s="409"/>
      <c r="AC21" s="257"/>
      <c r="AD21" s="1099">
        <f>+SUM(J21,O21,T21,Y21)</f>
        <v>946</v>
      </c>
      <c r="AE21" s="1100"/>
      <c r="AF21" s="1100"/>
      <c r="AG21" s="409"/>
      <c r="AH21" s="257"/>
      <c r="AI21" s="1118">
        <f>IFERROR(AD21/AD8*100,"ERROR")</f>
        <v>96.7280163599182</v>
      </c>
      <c r="AJ21" s="1119"/>
      <c r="AK21" s="1119"/>
      <c r="AL21" s="269"/>
      <c r="AT21" s="437" t="s">
        <v>547</v>
      </c>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436"/>
    </row>
    <row r="22" spans="2:100">
      <c r="B22" s="1155"/>
      <c r="C22" s="1131" t="s">
        <v>489</v>
      </c>
      <c r="D22" s="1132"/>
      <c r="E22" s="1132"/>
      <c r="F22" s="1132"/>
      <c r="G22" s="1132"/>
      <c r="H22" s="1133"/>
      <c r="I22" s="164"/>
      <c r="J22" s="1101" t="s">
        <v>344</v>
      </c>
      <c r="K22" s="1102"/>
      <c r="L22" s="1102"/>
      <c r="M22" s="1102"/>
      <c r="N22" s="1102"/>
      <c r="O22" s="1101" t="s">
        <v>194</v>
      </c>
      <c r="P22" s="1102"/>
      <c r="Q22" s="1102"/>
      <c r="R22" s="1102"/>
      <c r="S22" s="1102"/>
      <c r="T22" s="1101" t="s">
        <v>19</v>
      </c>
      <c r="U22" s="1102"/>
      <c r="V22" s="1102"/>
      <c r="W22" s="1102"/>
      <c r="X22" s="1102"/>
      <c r="Y22" s="1101" t="s">
        <v>342</v>
      </c>
      <c r="Z22" s="1102"/>
      <c r="AA22" s="1102"/>
      <c r="AB22" s="1102"/>
      <c r="AC22" s="1102"/>
      <c r="AD22" s="1101" t="s">
        <v>39</v>
      </c>
      <c r="AE22" s="1102"/>
      <c r="AF22" s="1102"/>
      <c r="AG22" s="1102"/>
      <c r="AH22" s="1120"/>
      <c r="AI22" s="1126" t="s">
        <v>447</v>
      </c>
      <c r="AJ22" s="1127"/>
      <c r="AK22" s="1127"/>
      <c r="AL22" s="1128"/>
      <c r="AP22" s="333"/>
      <c r="AT22" s="1010" t="s">
        <v>23</v>
      </c>
      <c r="AU22" s="1011"/>
      <c r="AV22" s="1011"/>
      <c r="AW22" s="1011"/>
      <c r="AX22" s="1011"/>
      <c r="AY22" s="1011"/>
      <c r="AZ22" s="1011"/>
      <c r="BA22" s="1011" t="s">
        <v>24</v>
      </c>
      <c r="BB22" s="1011"/>
      <c r="BC22" s="1011"/>
      <c r="BD22" s="1011" t="s">
        <v>459</v>
      </c>
      <c r="BE22" s="1011"/>
      <c r="BF22" s="1011"/>
      <c r="BG22" s="1011"/>
      <c r="BH22" s="1011"/>
      <c r="BI22" s="1011"/>
      <c r="BJ22" s="1011"/>
      <c r="BK22" s="1011"/>
      <c r="BL22" s="1011"/>
      <c r="BM22" s="1011"/>
      <c r="BN22" s="1011" t="s">
        <v>114</v>
      </c>
      <c r="BO22" s="1011"/>
      <c r="BP22" s="1011"/>
      <c r="BQ22" s="1011"/>
      <c r="BR22" s="1011"/>
      <c r="BS22" s="1011" t="s">
        <v>115</v>
      </c>
      <c r="BT22" s="1011"/>
      <c r="BU22" s="1011"/>
      <c r="BV22" s="1011"/>
      <c r="BW22" s="1011"/>
      <c r="BX22" s="1011" t="s">
        <v>116</v>
      </c>
      <c r="BY22" s="1011"/>
      <c r="BZ22" s="1011"/>
      <c r="CA22" s="1011"/>
      <c r="CB22" s="1011"/>
      <c r="CC22" s="1011" t="s">
        <v>117</v>
      </c>
      <c r="CD22" s="1011"/>
      <c r="CE22" s="1011"/>
      <c r="CF22" s="1011"/>
      <c r="CG22" s="1011"/>
      <c r="CH22" s="1011" t="s">
        <v>319</v>
      </c>
      <c r="CI22" s="1011"/>
      <c r="CJ22" s="1011"/>
      <c r="CK22" s="1011"/>
      <c r="CL22" s="1011"/>
      <c r="CM22" s="1011" t="s">
        <v>320</v>
      </c>
      <c r="CN22" s="1011"/>
      <c r="CO22" s="1011"/>
      <c r="CP22" s="1011"/>
      <c r="CQ22" s="1011"/>
      <c r="CR22" s="1011"/>
      <c r="CS22" s="1011"/>
      <c r="CT22" s="1011"/>
      <c r="CU22" s="1011"/>
      <c r="CV22" s="1020"/>
    </row>
    <row r="23" spans="2:100">
      <c r="B23" s="1155"/>
      <c r="C23" s="160"/>
      <c r="D23" s="1096" t="s">
        <v>46</v>
      </c>
      <c r="E23" s="1097"/>
      <c r="F23" s="1097"/>
      <c r="G23" s="1097"/>
      <c r="H23" s="1098"/>
      <c r="I23" s="161"/>
      <c r="J23" s="1099">
        <f>+'事業費（いしかわモデル）【例】'!F198</f>
        <v>164.49318519371113</v>
      </c>
      <c r="K23" s="1100"/>
      <c r="L23" s="1100"/>
      <c r="M23" s="408"/>
      <c r="N23" s="256"/>
      <c r="O23" s="1099">
        <f>+'事業費（いしかわモデル）【例】'!G198</f>
        <v>0</v>
      </c>
      <c r="P23" s="1100"/>
      <c r="Q23" s="1100"/>
      <c r="R23" s="408"/>
      <c r="S23" s="256"/>
      <c r="T23" s="1099">
        <f>+'事業費（いしかわモデル）【例】'!H198</f>
        <v>-38.801893457729143</v>
      </c>
      <c r="U23" s="1100"/>
      <c r="V23" s="1100"/>
      <c r="W23" s="408"/>
      <c r="X23" s="256"/>
      <c r="Y23" s="1099">
        <f>+'事業費（いしかわモデル）【例】'!I198</f>
        <v>0</v>
      </c>
      <c r="Z23" s="1100"/>
      <c r="AA23" s="1100"/>
      <c r="AB23" s="408"/>
      <c r="AC23" s="256"/>
      <c r="AD23" s="1099">
        <f>+SUM(J23,O23,T23,Y23)</f>
        <v>125.69129173598199</v>
      </c>
      <c r="AE23" s="1100"/>
      <c r="AF23" s="1100"/>
      <c r="AG23" s="408"/>
      <c r="AH23" s="256"/>
      <c r="AI23" s="1134">
        <f t="shared" ref="AI23:AI28" si="2">IFERROR(AD23/AD10*100,"ERROR")</f>
        <v>121.42136052875811</v>
      </c>
      <c r="AJ23" s="1134"/>
      <c r="AK23" s="1134"/>
      <c r="AL23" s="269"/>
      <c r="AT23" s="1124" t="s">
        <v>533</v>
      </c>
      <c r="AU23" s="922" t="s">
        <v>275</v>
      </c>
      <c r="AV23" s="922"/>
      <c r="AW23" s="922"/>
      <c r="AX23" s="922"/>
      <c r="AY23" s="922"/>
      <c r="AZ23" s="922"/>
      <c r="BA23" s="922"/>
      <c r="BB23" s="922"/>
      <c r="BC23" s="922"/>
      <c r="BD23" s="922" t="str">
        <f>+③基本情報入力【例】!$L$11</f>
        <v>A市</v>
      </c>
      <c r="BE23" s="922"/>
      <c r="BF23" s="922"/>
      <c r="BG23" s="922"/>
      <c r="BH23" s="922"/>
      <c r="BI23" s="922"/>
      <c r="BJ23" s="922"/>
      <c r="BK23" s="922"/>
      <c r="BL23" s="922"/>
      <c r="BM23" s="922"/>
      <c r="BN23" s="922" t="str">
        <f>+③基本情報入力【例】!$V$11</f>
        <v>B町</v>
      </c>
      <c r="BO23" s="922"/>
      <c r="BP23" s="922"/>
      <c r="BQ23" s="922"/>
      <c r="BR23" s="922"/>
      <c r="BS23" s="922" t="str">
        <f>+③基本情報入力【例】!$AA$11</f>
        <v>B町</v>
      </c>
      <c r="BT23" s="922"/>
      <c r="BU23" s="922"/>
      <c r="BV23" s="922"/>
      <c r="BW23" s="922"/>
      <c r="BX23" s="922" t="str">
        <f>+③基本情報入力【例】!$AF$11</f>
        <v>C町</v>
      </c>
      <c r="BY23" s="922"/>
      <c r="BZ23" s="922"/>
      <c r="CA23" s="922"/>
      <c r="CB23" s="922"/>
      <c r="CC23" s="922" t="str">
        <f>+③基本情報入力【例】!$AK$11</f>
        <v>C町</v>
      </c>
      <c r="CD23" s="922"/>
      <c r="CE23" s="922"/>
      <c r="CF23" s="922"/>
      <c r="CG23" s="922"/>
      <c r="CH23" s="922" t="str">
        <f>+③基本情報入力【例】!$AP$11</f>
        <v>C町</v>
      </c>
      <c r="CI23" s="922"/>
      <c r="CJ23" s="922"/>
      <c r="CK23" s="922"/>
      <c r="CL23" s="922"/>
      <c r="CM23" s="922" t="str">
        <f>+③基本情報入力【例】!$AU$11</f>
        <v>-</v>
      </c>
      <c r="CN23" s="922"/>
      <c r="CO23" s="922"/>
      <c r="CP23" s="922"/>
      <c r="CQ23" s="922"/>
      <c r="CR23" s="922" t="s">
        <v>39</v>
      </c>
      <c r="CS23" s="922"/>
      <c r="CT23" s="922"/>
      <c r="CU23" s="922"/>
      <c r="CV23" s="1061"/>
    </row>
    <row r="24" spans="2:100">
      <c r="B24" s="1155"/>
      <c r="C24" s="160"/>
      <c r="D24" s="1096" t="s">
        <v>17</v>
      </c>
      <c r="E24" s="1097"/>
      <c r="F24" s="1097"/>
      <c r="G24" s="1097"/>
      <c r="H24" s="1098"/>
      <c r="I24" s="161"/>
      <c r="J24" s="1099">
        <f>+'事業費（いしかわモデル）【例】'!F199</f>
        <v>133.39226906242413</v>
      </c>
      <c r="K24" s="1100"/>
      <c r="L24" s="1100"/>
      <c r="M24" s="408"/>
      <c r="N24" s="256"/>
      <c r="O24" s="1099">
        <f>+'事業費（いしかわモデル）【例】'!G199</f>
        <v>0</v>
      </c>
      <c r="P24" s="1100"/>
      <c r="Q24" s="1100"/>
      <c r="R24" s="408"/>
      <c r="S24" s="256"/>
      <c r="T24" s="1099">
        <f>+'事業費（いしかわモデル）【例】'!H199</f>
        <v>0</v>
      </c>
      <c r="U24" s="1100"/>
      <c r="V24" s="1100"/>
      <c r="W24" s="408"/>
      <c r="X24" s="256"/>
      <c r="Y24" s="1099">
        <f>+'事業費（いしかわモデル）【例】'!I199</f>
        <v>0</v>
      </c>
      <c r="Z24" s="1100"/>
      <c r="AA24" s="1100"/>
      <c r="AB24" s="408"/>
      <c r="AC24" s="256"/>
      <c r="AD24" s="1099">
        <f t="shared" ref="AD24:AD26" si="3">+SUM(J24,O24,T24,Y24)</f>
        <v>133.39226906242413</v>
      </c>
      <c r="AE24" s="1100"/>
      <c r="AF24" s="1100"/>
      <c r="AG24" s="408"/>
      <c r="AH24" s="256"/>
      <c r="AI24" s="1134">
        <f t="shared" si="2"/>
        <v>132.39453720241005</v>
      </c>
      <c r="AJ24" s="1134"/>
      <c r="AK24" s="1134"/>
      <c r="AL24" s="269"/>
      <c r="AT24" s="1124"/>
      <c r="AU24" s="909" t="s">
        <v>458</v>
      </c>
      <c r="AV24" s="909"/>
      <c r="AW24" s="909"/>
      <c r="AX24" s="909"/>
      <c r="AY24" s="909"/>
      <c r="AZ24" s="909"/>
      <c r="BA24" s="922" t="s">
        <v>217</v>
      </c>
      <c r="BB24" s="922"/>
      <c r="BC24" s="922"/>
      <c r="BD24" s="1043" t="str">
        <f>+③基本情報入力【例】!$L$12</f>
        <v>A市浄化センター</v>
      </c>
      <c r="BE24" s="1043"/>
      <c r="BF24" s="1043"/>
      <c r="BG24" s="1043"/>
      <c r="BH24" s="1043"/>
      <c r="BI24" s="1043"/>
      <c r="BJ24" s="1043"/>
      <c r="BK24" s="1043"/>
      <c r="BL24" s="1043"/>
      <c r="BM24" s="1043"/>
      <c r="BN24" s="1043" t="str">
        <f>+③基本情報入力【例】!$V$12</f>
        <v>B町中央浄化センター</v>
      </c>
      <c r="BO24" s="1043"/>
      <c r="BP24" s="1043"/>
      <c r="BQ24" s="1043"/>
      <c r="BR24" s="1043"/>
      <c r="BS24" s="1043" t="str">
        <f>+③基本情報入力【例】!$AA$12</f>
        <v>B町浄化センター</v>
      </c>
      <c r="BT24" s="1043"/>
      <c r="BU24" s="1043"/>
      <c r="BV24" s="1043"/>
      <c r="BW24" s="1043"/>
      <c r="BX24" s="1043" t="str">
        <f>+③基本情報入力【例】!$AF$12</f>
        <v>C町西浄化センター</v>
      </c>
      <c r="BY24" s="1043"/>
      <c r="BZ24" s="1043"/>
      <c r="CA24" s="1043"/>
      <c r="CB24" s="1043"/>
      <c r="CC24" s="1043" t="str">
        <f>+③基本情報入力【例】!$AK$12</f>
        <v>C町東浄化センター</v>
      </c>
      <c r="CD24" s="1043"/>
      <c r="CE24" s="1043"/>
      <c r="CF24" s="1043"/>
      <c r="CG24" s="1043"/>
      <c r="CH24" s="1043" t="str">
        <f>+③基本情報入力【例】!$AP$12</f>
        <v>C町中部浄化センター</v>
      </c>
      <c r="CI24" s="1043"/>
      <c r="CJ24" s="1043"/>
      <c r="CK24" s="1043"/>
      <c r="CL24" s="1043"/>
      <c r="CM24" s="1043" t="str">
        <f>+③基本情報入力【例】!$AU$12</f>
        <v>その他処理場</v>
      </c>
      <c r="CN24" s="1043"/>
      <c r="CO24" s="1043"/>
      <c r="CP24" s="1043"/>
      <c r="CQ24" s="1043"/>
      <c r="CR24" s="1043" t="s">
        <v>217</v>
      </c>
      <c r="CS24" s="1043"/>
      <c r="CT24" s="1043"/>
      <c r="CU24" s="1043"/>
      <c r="CV24" s="1136"/>
    </row>
    <row r="25" spans="2:100">
      <c r="B25" s="1155"/>
      <c r="C25" s="160"/>
      <c r="D25" s="1096" t="s">
        <v>207</v>
      </c>
      <c r="E25" s="1097"/>
      <c r="F25" s="1097"/>
      <c r="G25" s="1097"/>
      <c r="H25" s="1098"/>
      <c r="I25" s="161"/>
      <c r="J25" s="1099">
        <f>+'事業費（いしかわモデル）【例】'!F200</f>
        <v>5.5</v>
      </c>
      <c r="K25" s="1100"/>
      <c r="L25" s="1100"/>
      <c r="M25" s="408"/>
      <c r="N25" s="256"/>
      <c r="O25" s="1099">
        <f>+'事業費（いしかわモデル）【例】'!G200</f>
        <v>89.3</v>
      </c>
      <c r="P25" s="1100"/>
      <c r="Q25" s="1100"/>
      <c r="R25" s="408"/>
      <c r="S25" s="256"/>
      <c r="T25" s="1099">
        <f>+'事業費（いしかわモデル）【例】'!H200</f>
        <v>16.2</v>
      </c>
      <c r="U25" s="1100"/>
      <c r="V25" s="1100"/>
      <c r="W25" s="408"/>
      <c r="X25" s="256"/>
      <c r="Y25" s="1099">
        <f>+'事業費（いしかわモデル）【例】'!I200</f>
        <v>0</v>
      </c>
      <c r="Z25" s="1100"/>
      <c r="AA25" s="1100"/>
      <c r="AB25" s="408"/>
      <c r="AC25" s="256"/>
      <c r="AD25" s="1099">
        <f t="shared" si="3"/>
        <v>111</v>
      </c>
      <c r="AE25" s="1100"/>
      <c r="AF25" s="1100"/>
      <c r="AG25" s="408"/>
      <c r="AH25" s="256"/>
      <c r="AI25" s="1134">
        <f t="shared" si="2"/>
        <v>105.21327014218009</v>
      </c>
      <c r="AJ25" s="1134"/>
      <c r="AK25" s="1134"/>
      <c r="AL25" s="269"/>
      <c r="AT25" s="1124"/>
      <c r="AU25" s="909" t="s">
        <v>534</v>
      </c>
      <c r="AV25" s="909"/>
      <c r="AW25" s="909"/>
      <c r="AX25" s="909"/>
      <c r="AY25" s="909"/>
      <c r="AZ25" s="909"/>
      <c r="BA25" s="909" t="s">
        <v>120</v>
      </c>
      <c r="BB25" s="909"/>
      <c r="BC25" s="909"/>
      <c r="BD25" s="1111">
        <f>IF(BD8="",'事業費（既存）【例】'!$K$22,BD8)</f>
        <v>261.71035959397312</v>
      </c>
      <c r="BE25" s="1111"/>
      <c r="BF25" s="1111"/>
      <c r="BG25" s="1111"/>
      <c r="BH25" s="1111"/>
      <c r="BI25" s="1111"/>
      <c r="BJ25" s="1111"/>
      <c r="BK25" s="1111"/>
      <c r="BL25" s="1111"/>
      <c r="BM25" s="1111"/>
      <c r="BN25" s="1111">
        <f>IF(BN8="",'事業費（既存）【例】'!$K$53,BN8)</f>
        <v>162.39007086060104</v>
      </c>
      <c r="BO25" s="1111"/>
      <c r="BP25" s="1111"/>
      <c r="BQ25" s="1111"/>
      <c r="BR25" s="1111"/>
      <c r="BS25" s="1152">
        <f>IF(BS8="",'事業費（既存）【例】'!$K$82,BS8)</f>
        <v>137.78757039232141</v>
      </c>
      <c r="BT25" s="1153"/>
      <c r="BU25" s="1153"/>
      <c r="BV25" s="1153"/>
      <c r="BW25" s="1154"/>
      <c r="BX25" s="1152">
        <f>IF(BX8="",'事業費（既存）【例】'!$K$111,BX8)</f>
        <v>121.35984532335506</v>
      </c>
      <c r="BY25" s="1153"/>
      <c r="BZ25" s="1153"/>
      <c r="CA25" s="1153"/>
      <c r="CB25" s="1154"/>
      <c r="CC25" s="1152">
        <f>IF(CC8="",'事業費（既存）【例】'!$K$140,CC8)</f>
        <v>8.4922453816058638</v>
      </c>
      <c r="CD25" s="1153"/>
      <c r="CE25" s="1153"/>
      <c r="CF25" s="1153"/>
      <c r="CG25" s="1154"/>
      <c r="CH25" s="1152">
        <f>IF(CH8="",'事業費（既存）【例】'!$K$169,CH8)</f>
        <v>93.320421144785598</v>
      </c>
      <c r="CI25" s="1153"/>
      <c r="CJ25" s="1153"/>
      <c r="CK25" s="1153"/>
      <c r="CL25" s="1154"/>
      <c r="CM25" s="1152">
        <f>IF(CM8="",'事業費（既存）【例】'!$K$198,CM8)</f>
        <v>32.602425242657631</v>
      </c>
      <c r="CN25" s="1153"/>
      <c r="CO25" s="1153"/>
      <c r="CP25" s="1153"/>
      <c r="CQ25" s="1154"/>
      <c r="CR25" s="1111">
        <f>SUM(BD25:CQ25)</f>
        <v>817.6629379392997</v>
      </c>
      <c r="CS25" s="1111"/>
      <c r="CT25" s="1111"/>
      <c r="CU25" s="1111"/>
      <c r="CV25" s="1141"/>
    </row>
    <row r="26" spans="2:100">
      <c r="B26" s="1155"/>
      <c r="C26" s="160"/>
      <c r="D26" s="1096" t="s">
        <v>123</v>
      </c>
      <c r="E26" s="1097"/>
      <c r="F26" s="1097"/>
      <c r="G26" s="1097"/>
      <c r="H26" s="1098"/>
      <c r="I26" s="161"/>
      <c r="J26" s="1099">
        <f>+'事業費（いしかわモデル）【例】'!F201</f>
        <v>0</v>
      </c>
      <c r="K26" s="1100"/>
      <c r="L26" s="1100"/>
      <c r="M26" s="408"/>
      <c r="N26" s="256"/>
      <c r="O26" s="1099">
        <f>+'事業費（いしかわモデル）【例】'!G201</f>
        <v>0</v>
      </c>
      <c r="P26" s="1100"/>
      <c r="Q26" s="1100"/>
      <c r="R26" s="410"/>
      <c r="S26" s="258"/>
      <c r="T26" s="1099">
        <f>+'事業費（いしかわモデル）【例】'!H201</f>
        <v>0</v>
      </c>
      <c r="U26" s="1100"/>
      <c r="V26" s="1100"/>
      <c r="W26" s="408"/>
      <c r="X26" s="256"/>
      <c r="Y26" s="1099">
        <f>+'事業費（いしかわモデル）【例】'!I201</f>
        <v>0</v>
      </c>
      <c r="Z26" s="1100"/>
      <c r="AA26" s="1100"/>
      <c r="AB26" s="408"/>
      <c r="AC26" s="256"/>
      <c r="AD26" s="1099">
        <f t="shared" si="3"/>
        <v>0</v>
      </c>
      <c r="AE26" s="1100"/>
      <c r="AF26" s="1100"/>
      <c r="AG26" s="408"/>
      <c r="AH26" s="256"/>
      <c r="AI26" s="1134">
        <f t="shared" si="2"/>
        <v>0</v>
      </c>
      <c r="AJ26" s="1134"/>
      <c r="AK26" s="1134"/>
      <c r="AL26" s="269"/>
      <c r="AT26" s="1124"/>
      <c r="AU26" s="909" t="s">
        <v>543</v>
      </c>
      <c r="AV26" s="909"/>
      <c r="AW26" s="909"/>
      <c r="AX26" s="909"/>
      <c r="AY26" s="909"/>
      <c r="AZ26" s="909"/>
      <c r="BA26" s="909" t="s">
        <v>124</v>
      </c>
      <c r="BB26" s="909"/>
      <c r="BC26" s="909"/>
      <c r="BD26" s="1111">
        <f>IF(BD9="",'事業費（既存）【例】'!I22,BD9)</f>
        <v>16.522207056556319</v>
      </c>
      <c r="BE26" s="1111"/>
      <c r="BF26" s="1111"/>
      <c r="BG26" s="1111"/>
      <c r="BH26" s="1111"/>
      <c r="BI26" s="1111"/>
      <c r="BJ26" s="1111"/>
      <c r="BK26" s="1111"/>
      <c r="BL26" s="1111"/>
      <c r="BM26" s="1111"/>
      <c r="BN26" s="1111">
        <f>IF(BN9="",'事業費（既存）【例】'!I53,BN9)</f>
        <v>10.249247289853326</v>
      </c>
      <c r="BO26" s="1111"/>
      <c r="BP26" s="1111"/>
      <c r="BQ26" s="1111"/>
      <c r="BR26" s="1111"/>
      <c r="BS26" s="1111">
        <f>IF(BS9="",'事業費（既存）【例】'!I82,BS9)</f>
        <v>8.6953839832385604</v>
      </c>
      <c r="BT26" s="1111"/>
      <c r="BU26" s="1111"/>
      <c r="BV26" s="1111"/>
      <c r="BW26" s="1111"/>
      <c r="BX26" s="1111">
        <f>IF(BX9="",'事業費（既存）【例】'!I111,BX9)</f>
        <v>7.657861649468833</v>
      </c>
      <c r="BY26" s="1111"/>
      <c r="BZ26" s="1111"/>
      <c r="CA26" s="1111"/>
      <c r="CB26" s="1111"/>
      <c r="CC26" s="1111">
        <f>IF(CC9="",'事業費（既存）【例】'!I140,CC9)</f>
        <v>0.60137256621953183</v>
      </c>
      <c r="CD26" s="1111"/>
      <c r="CE26" s="1111"/>
      <c r="CF26" s="1111"/>
      <c r="CG26" s="1111"/>
      <c r="CH26" s="1111">
        <f>IF(CH9="",'事業費（既存）【例】'!I169,CH9)</f>
        <v>5.8870985090207952</v>
      </c>
      <c r="CI26" s="1111"/>
      <c r="CJ26" s="1111"/>
      <c r="CK26" s="1111"/>
      <c r="CL26" s="1111"/>
      <c r="CM26" s="1111">
        <f>IF(CM9="",'事業費（既存）【例】'!I198,CM9)</f>
        <v>2.3090363211156251</v>
      </c>
      <c r="CN26" s="1111"/>
      <c r="CO26" s="1111"/>
      <c r="CP26" s="1111"/>
      <c r="CQ26" s="1111"/>
      <c r="CR26" s="1111">
        <f t="shared" ref="CR26:CR27" si="4">SUM(BD26:CQ26)</f>
        <v>51.922207375472993</v>
      </c>
      <c r="CS26" s="1111"/>
      <c r="CT26" s="1111"/>
      <c r="CU26" s="1111"/>
      <c r="CV26" s="1141"/>
    </row>
    <row r="27" spans="2:100" ht="14.25" thickBot="1">
      <c r="B27" s="1155"/>
      <c r="C27" s="160"/>
      <c r="D27" s="1103" t="s">
        <v>349</v>
      </c>
      <c r="E27" s="1104"/>
      <c r="F27" s="1105"/>
      <c r="G27" s="288" t="s">
        <v>347</v>
      </c>
      <c r="H27" s="289"/>
      <c r="I27" s="290"/>
      <c r="J27" s="1109">
        <f>SUM(J23:L26)</f>
        <v>303.38545425613529</v>
      </c>
      <c r="K27" s="1110"/>
      <c r="L27" s="1110"/>
      <c r="M27" s="412"/>
      <c r="N27" s="291"/>
      <c r="O27" s="1109">
        <f>SUM(O23:Q26)</f>
        <v>89.3</v>
      </c>
      <c r="P27" s="1110"/>
      <c r="Q27" s="1110"/>
      <c r="R27" s="412"/>
      <c r="S27" s="291"/>
      <c r="T27" s="1109">
        <f>SUM(T23:V26)</f>
        <v>-22.601893457729144</v>
      </c>
      <c r="U27" s="1110"/>
      <c r="V27" s="1110"/>
      <c r="W27" s="412"/>
      <c r="X27" s="291"/>
      <c r="Y27" s="1109">
        <f>SUM(Y23:AA26)</f>
        <v>0</v>
      </c>
      <c r="Z27" s="1110"/>
      <c r="AA27" s="1110"/>
      <c r="AB27" s="412"/>
      <c r="AC27" s="291"/>
      <c r="AD27" s="1109">
        <f>+SUM(J27,O27,T27,Y27)</f>
        <v>370.08356079840615</v>
      </c>
      <c r="AE27" s="1110"/>
      <c r="AF27" s="1110"/>
      <c r="AG27" s="412"/>
      <c r="AH27" s="291"/>
      <c r="AI27" s="1150">
        <f t="shared" si="2"/>
        <v>82.41106577794686</v>
      </c>
      <c r="AJ27" s="1151"/>
      <c r="AK27" s="1151"/>
      <c r="AL27" s="292"/>
      <c r="AT27" s="1125"/>
      <c r="AU27" s="934" t="s">
        <v>264</v>
      </c>
      <c r="AV27" s="934"/>
      <c r="AW27" s="934"/>
      <c r="AX27" s="934"/>
      <c r="AY27" s="934"/>
      <c r="AZ27" s="934"/>
      <c r="BA27" s="934" t="s">
        <v>124</v>
      </c>
      <c r="BB27" s="934"/>
      <c r="BC27" s="934"/>
      <c r="BD27" s="1135">
        <f>IF(BD10="",'事業費（既存）【例】'!I34,BD10)</f>
        <v>13.442604118561063</v>
      </c>
      <c r="BE27" s="1135"/>
      <c r="BF27" s="1135"/>
      <c r="BG27" s="1135"/>
      <c r="BH27" s="1135"/>
      <c r="BI27" s="1135"/>
      <c r="BJ27" s="1135"/>
      <c r="BK27" s="1135"/>
      <c r="BL27" s="1135"/>
      <c r="BM27" s="1135"/>
      <c r="BN27" s="1135">
        <f>IF(BN10="",'事業費（既存）【例】'!I63,BN10)</f>
        <v>7.267765078717745</v>
      </c>
      <c r="BO27" s="1135"/>
      <c r="BP27" s="1135"/>
      <c r="BQ27" s="1135"/>
      <c r="BR27" s="1135"/>
      <c r="BS27" s="1135">
        <f>IF(BS10="",'事業費（既存）【例】'!I92,BS10)</f>
        <v>5.878882710094536</v>
      </c>
      <c r="BT27" s="1135"/>
      <c r="BU27" s="1135"/>
      <c r="BV27" s="1135"/>
      <c r="BW27" s="1135"/>
      <c r="BX27" s="1135">
        <f>IF(BX10="",'事業費（既存）【例】'!I121,BX10)</f>
        <v>4.9896165236205228</v>
      </c>
      <c r="BY27" s="1135"/>
      <c r="BZ27" s="1135"/>
      <c r="CA27" s="1135"/>
      <c r="CB27" s="1135"/>
      <c r="CC27" s="1135">
        <f>IF(CC10="",'事業費（既存）【例】'!I150,CC10)</f>
        <v>2.9380038985564891E-2</v>
      </c>
      <c r="CD27" s="1135"/>
      <c r="CE27" s="1135"/>
      <c r="CF27" s="1135"/>
      <c r="CG27" s="1135"/>
      <c r="CH27" s="1135">
        <f>IF(CH10="",'事業費（既存）【例】'!I179,CH10)</f>
        <v>3.5524486724324809</v>
      </c>
      <c r="CI27" s="1135"/>
      <c r="CJ27" s="1135"/>
      <c r="CK27" s="1135"/>
      <c r="CL27" s="1135"/>
      <c r="CM27" s="1135">
        <f>IF(CM10="",'事業費（既存）【例】'!I208,CM10)</f>
        <v>0.11190786357766511</v>
      </c>
      <c r="CN27" s="1135"/>
      <c r="CO27" s="1135"/>
      <c r="CP27" s="1135"/>
      <c r="CQ27" s="1135"/>
      <c r="CR27" s="1135">
        <f t="shared" si="4"/>
        <v>35.272605005989575</v>
      </c>
      <c r="CS27" s="1135"/>
      <c r="CT27" s="1135"/>
      <c r="CU27" s="1135"/>
      <c r="CV27" s="1142"/>
    </row>
    <row r="28" spans="2:100" ht="14.25" thickBot="1">
      <c r="B28" s="1156"/>
      <c r="C28" s="165"/>
      <c r="D28" s="1106"/>
      <c r="E28" s="1107"/>
      <c r="F28" s="1108"/>
      <c r="G28" s="293" t="s">
        <v>348</v>
      </c>
      <c r="H28" s="294"/>
      <c r="I28" s="295"/>
      <c r="J28" s="1146">
        <f>J23*0.45+J24+J25+J26</f>
        <v>212.91420239959416</v>
      </c>
      <c r="K28" s="1147"/>
      <c r="L28" s="1147"/>
      <c r="M28" s="411"/>
      <c r="N28" s="296"/>
      <c r="O28" s="1146">
        <f>O23+O24+O25+O26</f>
        <v>89.3</v>
      </c>
      <c r="P28" s="1147"/>
      <c r="Q28" s="1147"/>
      <c r="R28" s="411"/>
      <c r="S28" s="296"/>
      <c r="T28" s="1146">
        <f>T23*0.67+T24+T25+T26</f>
        <v>-9.7972686166785294</v>
      </c>
      <c r="U28" s="1147"/>
      <c r="V28" s="1147"/>
      <c r="W28" s="411"/>
      <c r="X28" s="296"/>
      <c r="Y28" s="1146">
        <f>Y23*0.67+Y24+Y25+Y26</f>
        <v>0</v>
      </c>
      <c r="Z28" s="1147"/>
      <c r="AA28" s="1147"/>
      <c r="AB28" s="411"/>
      <c r="AC28" s="296"/>
      <c r="AD28" s="1146">
        <f>+SUM(J28,O28,T28,Y28)</f>
        <v>292.41693378291563</v>
      </c>
      <c r="AE28" s="1147"/>
      <c r="AF28" s="1147"/>
      <c r="AG28" s="411"/>
      <c r="AH28" s="296"/>
      <c r="AI28" s="1148">
        <f t="shared" si="2"/>
        <v>72.472480571094195</v>
      </c>
      <c r="AJ28" s="1149"/>
      <c r="AK28" s="1149"/>
      <c r="AL28" s="297"/>
      <c r="AT28" s="437"/>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436"/>
    </row>
    <row r="29" spans="2:100">
      <c r="AT29" s="1010" t="s">
        <v>23</v>
      </c>
      <c r="AU29" s="1011"/>
      <c r="AV29" s="1011"/>
      <c r="AW29" s="1011"/>
      <c r="AX29" s="1011"/>
      <c r="AY29" s="1011"/>
      <c r="AZ29" s="1011"/>
      <c r="BA29" s="1011" t="s">
        <v>24</v>
      </c>
      <c r="BB29" s="1011"/>
      <c r="BC29" s="1011"/>
      <c r="BD29" s="1011" t="s">
        <v>321</v>
      </c>
      <c r="BE29" s="1011"/>
      <c r="BF29" s="1011"/>
      <c r="BG29" s="1011"/>
      <c r="BH29" s="1011"/>
      <c r="BI29" s="1011" t="s">
        <v>322</v>
      </c>
      <c r="BJ29" s="1011"/>
      <c r="BK29" s="1011"/>
      <c r="BL29" s="1011"/>
      <c r="BM29" s="1011"/>
      <c r="BN29" s="1011" t="s">
        <v>323</v>
      </c>
      <c r="BO29" s="1011"/>
      <c r="BP29" s="1011"/>
      <c r="BQ29" s="1011"/>
      <c r="BR29" s="1011"/>
      <c r="BS29" s="1011"/>
      <c r="BT29" s="1011"/>
      <c r="BU29" s="1011"/>
      <c r="BV29" s="1011"/>
      <c r="BW29" s="1020"/>
      <c r="BX29" s="1"/>
      <c r="BY29" s="1"/>
      <c r="BZ29" s="1"/>
      <c r="CA29" s="1"/>
      <c r="CB29" s="1"/>
      <c r="CC29" s="1"/>
      <c r="CD29" s="1"/>
      <c r="CE29" s="1"/>
      <c r="CF29" s="1"/>
      <c r="CG29" s="1"/>
      <c r="CH29" s="1"/>
      <c r="CI29" s="1"/>
      <c r="CJ29" s="1"/>
      <c r="CK29" s="1"/>
      <c r="CL29" s="1"/>
      <c r="CM29" s="1"/>
      <c r="CN29" s="1"/>
      <c r="CO29" s="1"/>
      <c r="CP29" s="1"/>
      <c r="CQ29" s="1"/>
      <c r="CR29" s="1"/>
      <c r="CS29" s="1"/>
      <c r="CT29" s="1"/>
      <c r="CU29" s="1"/>
      <c r="CV29" s="436"/>
    </row>
    <row r="30" spans="2:100" ht="14.25" thickBot="1">
      <c r="B30" t="s">
        <v>712</v>
      </c>
      <c r="AT30" s="1124" t="s">
        <v>533</v>
      </c>
      <c r="AU30" s="922" t="s">
        <v>275</v>
      </c>
      <c r="AV30" s="922"/>
      <c r="AW30" s="922"/>
      <c r="AX30" s="922"/>
      <c r="AY30" s="922"/>
      <c r="AZ30" s="922"/>
      <c r="BA30" s="922" t="s">
        <v>217</v>
      </c>
      <c r="BB30" s="922"/>
      <c r="BC30" s="922"/>
      <c r="BD30" s="1043" t="str">
        <f>+③基本情報入力【例】!$L$29</f>
        <v>A市・B町・C町</v>
      </c>
      <c r="BE30" s="1043"/>
      <c r="BF30" s="1043"/>
      <c r="BG30" s="1043"/>
      <c r="BH30" s="1043"/>
      <c r="BI30" s="1043" t="str">
        <f>+③基本情報入力【例】!$Q$29</f>
        <v>A市・B町・C町</v>
      </c>
      <c r="BJ30" s="1043"/>
      <c r="BK30" s="1043"/>
      <c r="BL30" s="1043"/>
      <c r="BM30" s="1043"/>
      <c r="BN30" s="1043" t="str">
        <f>+③基本情報入力【例】!$V$29</f>
        <v>A市・B町・C町</v>
      </c>
      <c r="BO30" s="1043"/>
      <c r="BP30" s="1043"/>
      <c r="BQ30" s="1043"/>
      <c r="BR30" s="1043"/>
      <c r="BS30" s="922" t="s">
        <v>39</v>
      </c>
      <c r="BT30" s="922"/>
      <c r="BU30" s="922"/>
      <c r="BV30" s="922"/>
      <c r="BW30" s="1061"/>
      <c r="BX30" s="1"/>
      <c r="BY30" s="1"/>
      <c r="BZ30" s="1"/>
      <c r="CA30" s="1"/>
      <c r="CB30" s="1"/>
      <c r="CC30" s="1"/>
      <c r="CD30" s="1"/>
      <c r="CE30" s="1"/>
      <c r="CF30" s="1"/>
      <c r="CG30" s="1"/>
      <c r="CH30" s="1"/>
      <c r="CI30" s="1"/>
      <c r="CJ30" s="1"/>
      <c r="CK30" s="1"/>
      <c r="CL30" s="1"/>
      <c r="CM30" s="1"/>
      <c r="CN30" s="1"/>
      <c r="CO30" s="1"/>
      <c r="CP30" s="1"/>
      <c r="CQ30" s="1"/>
      <c r="CR30" s="1"/>
      <c r="CS30" s="1"/>
      <c r="CT30" s="1"/>
      <c r="CU30" s="1"/>
      <c r="CV30" s="436"/>
    </row>
    <row r="31" spans="2:100">
      <c r="B31" s="508"/>
      <c r="C31" s="1161" t="s">
        <v>720</v>
      </c>
      <c r="D31" s="1161"/>
      <c r="E31" s="1161"/>
      <c r="F31" s="1161"/>
      <c r="G31" s="1161"/>
      <c r="H31" s="1161"/>
      <c r="I31" s="1161"/>
      <c r="J31" s="1161"/>
      <c r="K31" s="1161"/>
      <c r="L31" s="1161"/>
      <c r="M31" s="1162"/>
      <c r="AT31" s="1124"/>
      <c r="AU31" s="909" t="s">
        <v>158</v>
      </c>
      <c r="AV31" s="909"/>
      <c r="AW31" s="909"/>
      <c r="AX31" s="909"/>
      <c r="AY31" s="909"/>
      <c r="AZ31" s="909"/>
      <c r="BA31" s="909" t="s">
        <v>148</v>
      </c>
      <c r="BB31" s="909"/>
      <c r="BC31" s="909"/>
      <c r="BD31" s="922" t="s">
        <v>541</v>
      </c>
      <c r="BE31" s="922"/>
      <c r="BF31" s="922"/>
      <c r="BG31" s="922"/>
      <c r="BH31" s="922"/>
      <c r="BI31" s="922"/>
      <c r="BJ31" s="922"/>
      <c r="BK31" s="922"/>
      <c r="BL31" s="922"/>
      <c r="BM31" s="922"/>
      <c r="BN31" s="922" t="s">
        <v>542</v>
      </c>
      <c r="BO31" s="922"/>
      <c r="BP31" s="922"/>
      <c r="BQ31" s="922"/>
      <c r="BR31" s="922"/>
      <c r="BS31" s="1043" t="s">
        <v>217</v>
      </c>
      <c r="BT31" s="1043"/>
      <c r="BU31" s="1043"/>
      <c r="BV31" s="1043"/>
      <c r="BW31" s="1136"/>
      <c r="BX31" s="1"/>
      <c r="BY31" s="1"/>
      <c r="BZ31" s="1"/>
      <c r="CA31" s="1"/>
      <c r="CB31" s="1"/>
      <c r="CC31" s="1"/>
      <c r="CD31" s="1"/>
      <c r="CE31" s="1"/>
      <c r="CF31" s="1"/>
      <c r="CG31" s="1"/>
      <c r="CH31" s="1"/>
      <c r="CI31" s="1"/>
      <c r="CJ31" s="1"/>
      <c r="CK31" s="1"/>
      <c r="CL31" s="1"/>
      <c r="CM31" s="1"/>
      <c r="CN31" s="1"/>
      <c r="CO31" s="1"/>
      <c r="CP31" s="1"/>
      <c r="CQ31" s="1"/>
      <c r="CR31" s="1"/>
      <c r="CS31" s="1"/>
      <c r="CT31" s="1"/>
      <c r="CU31" s="1"/>
      <c r="CV31" s="436"/>
    </row>
    <row r="32" spans="2:100" ht="14.25">
      <c r="B32" s="509"/>
      <c r="C32" s="1182" t="s">
        <v>644</v>
      </c>
      <c r="D32" s="1182"/>
      <c r="E32" s="1182"/>
      <c r="F32" s="1182"/>
      <c r="G32" s="1182"/>
      <c r="H32" s="1182"/>
      <c r="I32" s="1182"/>
      <c r="J32" s="1163">
        <f>IF(③基本情報入力【例】!E93="〇",'物質収支（いしかわモデル） 【例】'!X37*365,"―")</f>
        <v>614970.25</v>
      </c>
      <c r="K32" s="1164"/>
      <c r="L32" s="1164"/>
      <c r="M32" s="1165"/>
      <c r="AT32" s="1124"/>
      <c r="AU32" s="909" t="s">
        <v>534</v>
      </c>
      <c r="AV32" s="909"/>
      <c r="AW32" s="909"/>
      <c r="AX32" s="909"/>
      <c r="AY32" s="909"/>
      <c r="AZ32" s="909"/>
      <c r="BA32" s="909" t="s">
        <v>120</v>
      </c>
      <c r="BB32" s="909"/>
      <c r="BC32" s="909"/>
      <c r="BD32" s="1111">
        <f>IF(BD15="",'事業費（既存）【例】'!K219,BD15)</f>
        <v>910.80000000000007</v>
      </c>
      <c r="BE32" s="1111"/>
      <c r="BF32" s="1111"/>
      <c r="BG32" s="1111"/>
      <c r="BH32" s="1111"/>
      <c r="BI32" s="1111"/>
      <c r="BJ32" s="1111"/>
      <c r="BK32" s="1111"/>
      <c r="BL32" s="1111"/>
      <c r="BM32" s="1111"/>
      <c r="BN32" s="1111">
        <f>IF(BN15="",0,BN15)</f>
        <v>0</v>
      </c>
      <c r="BO32" s="1111"/>
      <c r="BP32" s="1111"/>
      <c r="BQ32" s="1111"/>
      <c r="BR32" s="1111"/>
      <c r="BS32" s="1111">
        <f>SUM(BD32:BM32)</f>
        <v>910.80000000000007</v>
      </c>
      <c r="BT32" s="1111"/>
      <c r="BU32" s="1111"/>
      <c r="BV32" s="1111"/>
      <c r="BW32" s="1141"/>
      <c r="BX32" s="1"/>
      <c r="BY32" s="1"/>
      <c r="BZ32" s="1"/>
      <c r="CA32" s="1"/>
      <c r="CB32" s="1"/>
      <c r="CC32" s="1"/>
      <c r="CD32" s="1"/>
      <c r="CE32" s="1"/>
      <c r="CF32" s="1"/>
      <c r="CG32" s="1"/>
      <c r="CH32" s="1"/>
      <c r="CI32" s="1"/>
      <c r="CJ32" s="1"/>
      <c r="CK32" s="1"/>
      <c r="CL32" s="1"/>
      <c r="CM32" s="1"/>
      <c r="CN32" s="1"/>
      <c r="CO32" s="1"/>
      <c r="CP32" s="1"/>
      <c r="CQ32" s="1"/>
      <c r="CR32" s="1"/>
      <c r="CS32" s="1"/>
      <c r="CT32" s="1"/>
      <c r="CU32" s="1"/>
      <c r="CV32" s="436"/>
    </row>
    <row r="33" spans="2:100" ht="15" thickBot="1">
      <c r="B33" s="510"/>
      <c r="C33" s="1183" t="s">
        <v>708</v>
      </c>
      <c r="D33" s="1183"/>
      <c r="E33" s="1183"/>
      <c r="F33" s="1183"/>
      <c r="G33" s="1183"/>
      <c r="H33" s="1183"/>
      <c r="I33" s="1183"/>
      <c r="J33" s="1166">
        <f>IF(③基本情報入力【例】!E94="〇",'物質収支（いしかわモデル） 【例】'!X44*365,"―")</f>
        <v>598.59999999999991</v>
      </c>
      <c r="K33" s="1167"/>
      <c r="L33" s="1167"/>
      <c r="M33" s="1168"/>
      <c r="AT33" s="1124"/>
      <c r="AU33" s="940" t="s">
        <v>543</v>
      </c>
      <c r="AV33" s="941"/>
      <c r="AW33" s="941"/>
      <c r="AX33" s="941"/>
      <c r="AY33" s="941"/>
      <c r="AZ33" s="942"/>
      <c r="BA33" s="940" t="s">
        <v>124</v>
      </c>
      <c r="BB33" s="941"/>
      <c r="BC33" s="942"/>
      <c r="BD33" s="1152">
        <f>IF(BD16="",'事業費（既存）【例】'!I219,BD16)</f>
        <v>51.59441539059506</v>
      </c>
      <c r="BE33" s="1153"/>
      <c r="BF33" s="1153"/>
      <c r="BG33" s="1153"/>
      <c r="BH33" s="1153"/>
      <c r="BI33" s="1153"/>
      <c r="BJ33" s="1153"/>
      <c r="BK33" s="1153"/>
      <c r="BL33" s="1153"/>
      <c r="BM33" s="1154"/>
      <c r="BN33" s="1152">
        <f>IF(BN16="",0,BN16)</f>
        <v>0</v>
      </c>
      <c r="BO33" s="1153"/>
      <c r="BP33" s="1153"/>
      <c r="BQ33" s="1153"/>
      <c r="BR33" s="1154"/>
      <c r="BS33" s="1152">
        <f>SUM(BD33:BM33)</f>
        <v>51.59441539059506</v>
      </c>
      <c r="BT33" s="1153"/>
      <c r="BU33" s="1153"/>
      <c r="BV33" s="1153"/>
      <c r="BW33" s="1173"/>
      <c r="BX33" s="1"/>
      <c r="BY33" s="1"/>
      <c r="BZ33" s="1"/>
      <c r="CA33" s="1"/>
      <c r="CB33" s="1"/>
      <c r="CC33" s="1"/>
      <c r="CD33" s="1"/>
      <c r="CE33" s="1"/>
      <c r="CF33" s="1"/>
      <c r="CG33" s="1"/>
      <c r="CH33" s="1"/>
      <c r="CI33" s="1"/>
      <c r="CJ33" s="1"/>
      <c r="CK33" s="1"/>
      <c r="CL33" s="1"/>
      <c r="CM33" s="1"/>
      <c r="CN33" s="1"/>
      <c r="CO33" s="1"/>
      <c r="CP33" s="1"/>
      <c r="CQ33" s="1"/>
      <c r="CR33" s="1"/>
      <c r="CS33" s="1"/>
      <c r="CT33" s="1"/>
      <c r="CU33" s="1"/>
      <c r="CV33" s="436"/>
    </row>
    <row r="34" spans="2:100" ht="14.25" thickBot="1">
      <c r="AT34" s="1125"/>
      <c r="AU34" s="991" t="s">
        <v>264</v>
      </c>
      <c r="AV34" s="992"/>
      <c r="AW34" s="992"/>
      <c r="AX34" s="992"/>
      <c r="AY34" s="992"/>
      <c r="AZ34" s="993"/>
      <c r="BA34" s="991" t="s">
        <v>124</v>
      </c>
      <c r="BB34" s="992"/>
      <c r="BC34" s="993"/>
      <c r="BD34" s="1169">
        <f>IF(BD17="",'事業費（既存）【例】'!I222,BD17)</f>
        <v>65.480999999999995</v>
      </c>
      <c r="BE34" s="1170"/>
      <c r="BF34" s="1170"/>
      <c r="BG34" s="1170"/>
      <c r="BH34" s="1170"/>
      <c r="BI34" s="1170"/>
      <c r="BJ34" s="1170"/>
      <c r="BK34" s="1170"/>
      <c r="BL34" s="1170"/>
      <c r="BM34" s="1171"/>
      <c r="BN34" s="1169">
        <f>IF(BN17="",0,BN17)</f>
        <v>0</v>
      </c>
      <c r="BO34" s="1170"/>
      <c r="BP34" s="1170"/>
      <c r="BQ34" s="1170"/>
      <c r="BR34" s="1171"/>
      <c r="BS34" s="1169">
        <f>SUM(BD34:BM34)</f>
        <v>65.480999999999995</v>
      </c>
      <c r="BT34" s="1170"/>
      <c r="BU34" s="1170"/>
      <c r="BV34" s="1170"/>
      <c r="BW34" s="1172"/>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438"/>
    </row>
    <row r="35" spans="2:100" ht="14.25" thickBot="1"/>
    <row r="36" spans="2:100" ht="14.25" customHeight="1">
      <c r="B36" s="1184" t="s">
        <v>511</v>
      </c>
      <c r="C36" s="1185"/>
      <c r="D36" s="1185"/>
      <c r="E36" s="1174" t="str">
        <f>IF(AI27="ERROR","",IF(AI27&lt;AI14,"「いしかわモデル」の導入による、事業費の低減が期待できます。","「いしかわモデル」導入の事業費が既存処理体系の事業費を上回っています。
以下の対応により、「いしかわモデル」導入における課題を解消できる可能性があります。"))</f>
        <v>「いしかわモデル」の導入による、事業費の低減が期待できます。</v>
      </c>
      <c r="F36" s="1175"/>
      <c r="G36" s="1175"/>
      <c r="H36" s="1175"/>
      <c r="I36" s="1175"/>
      <c r="J36" s="1175"/>
      <c r="K36" s="1175"/>
      <c r="L36" s="1175"/>
      <c r="M36" s="1175"/>
      <c r="N36" s="1175"/>
      <c r="O36" s="1175"/>
      <c r="P36" s="1175"/>
      <c r="Q36" s="1175"/>
      <c r="R36" s="1175"/>
      <c r="S36" s="1175"/>
      <c r="T36" s="1175"/>
      <c r="U36" s="1175"/>
      <c r="V36" s="1175"/>
      <c r="W36" s="1175"/>
      <c r="X36" s="1175"/>
      <c r="Y36" s="1176"/>
    </row>
    <row r="37" spans="2:100" ht="14.25" customHeight="1" thickBot="1">
      <c r="B37" s="1186"/>
      <c r="C37" s="1187"/>
      <c r="D37" s="1187"/>
      <c r="E37" s="1177"/>
      <c r="F37" s="1178"/>
      <c r="G37" s="1178"/>
      <c r="H37" s="1178"/>
      <c r="I37" s="1178"/>
      <c r="J37" s="1178"/>
      <c r="K37" s="1178"/>
      <c r="L37" s="1178"/>
      <c r="M37" s="1178"/>
      <c r="N37" s="1178"/>
      <c r="O37" s="1178"/>
      <c r="P37" s="1178"/>
      <c r="Q37" s="1178"/>
      <c r="R37" s="1178"/>
      <c r="S37" s="1178"/>
      <c r="T37" s="1178"/>
      <c r="U37" s="1178"/>
      <c r="V37" s="1178"/>
      <c r="W37" s="1178"/>
      <c r="X37" s="1178"/>
      <c r="Y37" s="1179"/>
    </row>
    <row r="38" spans="2:100" ht="14.25" customHeight="1">
      <c r="B38" s="1188" t="str">
        <f>IF(E36="「いしかわモデル」導入の事業費が既存処理体系の事業費を上回っています。
以下の対応により、「いしかわモデル」導入における課題を解消できる可能性があります。","⇒","")</f>
        <v/>
      </c>
      <c r="C38" s="1188"/>
      <c r="D38" s="1188"/>
      <c r="E38" s="1180" t="str">
        <f>IF(E36="「いしかわモデル」導入の事業費が既存処理体系の事業費を上回っています。
以下の対応により、「いしかわモデル」導入における課題を解消できる可能性があります。","〇集約対象施設・範囲の見直しによる下水汚泥の収集運搬費及び処分費の低減
〇投入バイオマスの高濃度化による設備の小型化、建設コストの低減
〇補助事業の活用による建設コストの低減","")</f>
        <v/>
      </c>
      <c r="F38" s="1180"/>
      <c r="G38" s="1180"/>
      <c r="H38" s="1180"/>
      <c r="I38" s="1180"/>
      <c r="J38" s="1180"/>
      <c r="K38" s="1180"/>
      <c r="L38" s="1180"/>
      <c r="M38" s="1180"/>
      <c r="N38" s="1180"/>
      <c r="O38" s="1180"/>
      <c r="P38" s="1180"/>
      <c r="Q38" s="1180"/>
      <c r="R38" s="1180"/>
      <c r="S38" s="1180"/>
      <c r="T38" s="1180"/>
      <c r="U38" s="1180"/>
      <c r="V38" s="1180"/>
      <c r="W38" s="1180"/>
      <c r="X38" s="1180"/>
      <c r="Y38" s="1180"/>
    </row>
    <row r="39" spans="2:100" ht="14.25" customHeight="1">
      <c r="B39" s="1189"/>
      <c r="C39" s="1189"/>
      <c r="D39" s="1189"/>
      <c r="E39" s="1181"/>
      <c r="F39" s="1181"/>
      <c r="G39" s="1181"/>
      <c r="H39" s="1181"/>
      <c r="I39" s="1181"/>
      <c r="J39" s="1181"/>
      <c r="K39" s="1181"/>
      <c r="L39" s="1181"/>
      <c r="M39" s="1181"/>
      <c r="N39" s="1181"/>
      <c r="O39" s="1181"/>
      <c r="P39" s="1181"/>
      <c r="Q39" s="1181"/>
      <c r="R39" s="1181"/>
      <c r="S39" s="1181"/>
      <c r="T39" s="1181"/>
      <c r="U39" s="1181"/>
      <c r="V39" s="1181"/>
      <c r="W39" s="1181"/>
      <c r="X39" s="1181"/>
      <c r="Y39" s="1181"/>
    </row>
    <row r="40" spans="2:100" ht="14.25" customHeight="1">
      <c r="B40" s="1189"/>
      <c r="C40" s="1189"/>
      <c r="D40" s="1189"/>
      <c r="E40" s="1181"/>
      <c r="F40" s="1181"/>
      <c r="G40" s="1181"/>
      <c r="H40" s="1181"/>
      <c r="I40" s="1181"/>
      <c r="J40" s="1181"/>
      <c r="K40" s="1181"/>
      <c r="L40" s="1181"/>
      <c r="M40" s="1181"/>
      <c r="N40" s="1181"/>
      <c r="O40" s="1181"/>
      <c r="P40" s="1181"/>
      <c r="Q40" s="1181"/>
      <c r="R40" s="1181"/>
      <c r="S40" s="1181"/>
      <c r="T40" s="1181"/>
      <c r="U40" s="1181"/>
      <c r="V40" s="1181"/>
      <c r="W40" s="1181"/>
      <c r="X40" s="1181"/>
      <c r="Y40" s="1181"/>
    </row>
    <row r="41" spans="2:100" ht="14.25" customHeight="1">
      <c r="B41" s="512"/>
      <c r="C41" s="512"/>
      <c r="D41" s="512"/>
      <c r="E41" s="513"/>
      <c r="F41" s="513"/>
      <c r="G41" s="513"/>
      <c r="H41" s="513"/>
      <c r="I41" s="513"/>
      <c r="J41" s="513"/>
      <c r="K41" s="513"/>
      <c r="L41" s="513"/>
      <c r="M41" s="513"/>
      <c r="N41" s="513"/>
      <c r="O41" s="513"/>
      <c r="P41" s="513"/>
      <c r="Q41" s="513"/>
      <c r="R41" s="513"/>
      <c r="S41" s="513"/>
      <c r="T41" s="513"/>
      <c r="U41" s="513"/>
      <c r="V41" s="513"/>
      <c r="W41" s="513"/>
      <c r="X41" s="513"/>
      <c r="Y41" s="513"/>
    </row>
    <row r="42" spans="2:100" ht="14.25" customHeight="1">
      <c r="Z42" s="299"/>
      <c r="AA42" s="299"/>
      <c r="AB42" s="299"/>
      <c r="AC42" s="299"/>
    </row>
    <row r="43" spans="2:100" ht="14.25" customHeight="1">
      <c r="Z43" s="299"/>
      <c r="AA43" s="299"/>
      <c r="AB43" s="299"/>
      <c r="AC43" s="299"/>
    </row>
    <row r="44" spans="2:100" ht="14.25" customHeight="1">
      <c r="Z44" s="299"/>
      <c r="AA44" s="299"/>
      <c r="AB44" s="299"/>
      <c r="AC44" s="299"/>
    </row>
    <row r="45" spans="2:100" ht="14.25" customHeight="1"/>
    <row r="66" ht="14.25" customHeight="1"/>
    <row r="68" ht="14.25" customHeight="1"/>
    <row r="71" ht="13.5" customHeight="1"/>
    <row r="72" ht="14.25" customHeight="1"/>
  </sheetData>
  <mergeCells count="348">
    <mergeCell ref="E36:Y37"/>
    <mergeCell ref="E38:Y40"/>
    <mergeCell ref="AI27:AK27"/>
    <mergeCell ref="J28:L28"/>
    <mergeCell ref="O28:Q28"/>
    <mergeCell ref="T28:V28"/>
    <mergeCell ref="Y28:AA28"/>
    <mergeCell ref="AD28:AF28"/>
    <mergeCell ref="AI28:AK28"/>
    <mergeCell ref="D27:F28"/>
    <mergeCell ref="J27:L27"/>
    <mergeCell ref="O27:Q27"/>
    <mergeCell ref="T27:V27"/>
    <mergeCell ref="C32:I32"/>
    <mergeCell ref="C33:I33"/>
    <mergeCell ref="B36:D37"/>
    <mergeCell ref="B38:D40"/>
    <mergeCell ref="BS33:BW33"/>
    <mergeCell ref="BN33:BR33"/>
    <mergeCell ref="BD33:BM33"/>
    <mergeCell ref="BA33:BC33"/>
    <mergeCell ref="AU33:AZ33"/>
    <mergeCell ref="BS32:BW32"/>
    <mergeCell ref="BD32:BM32"/>
    <mergeCell ref="AI21:AK21"/>
    <mergeCell ref="AU32:AZ32"/>
    <mergeCell ref="BA32:BC32"/>
    <mergeCell ref="BI30:BM30"/>
    <mergeCell ref="BN30:BR30"/>
    <mergeCell ref="BA31:BC31"/>
    <mergeCell ref="BD31:BM31"/>
    <mergeCell ref="BN31:BR31"/>
    <mergeCell ref="BA25:BC25"/>
    <mergeCell ref="BD34:BM34"/>
    <mergeCell ref="BN34:BR34"/>
    <mergeCell ref="BS34:BW34"/>
    <mergeCell ref="D23:H23"/>
    <mergeCell ref="J23:L23"/>
    <mergeCell ref="O23:Q23"/>
    <mergeCell ref="T23:V23"/>
    <mergeCell ref="Y23:AA23"/>
    <mergeCell ref="AD23:AF23"/>
    <mergeCell ref="AI23:AK23"/>
    <mergeCell ref="D24:H24"/>
    <mergeCell ref="J24:L24"/>
    <mergeCell ref="O24:Q24"/>
    <mergeCell ref="T24:V24"/>
    <mergeCell ref="Y24:AA24"/>
    <mergeCell ref="AD24:AF24"/>
    <mergeCell ref="AI24:AK24"/>
    <mergeCell ref="AI25:AK25"/>
    <mergeCell ref="D26:H26"/>
    <mergeCell ref="J26:L26"/>
    <mergeCell ref="O26:Q26"/>
    <mergeCell ref="BN32:BR32"/>
    <mergeCell ref="BA30:BC30"/>
    <mergeCell ref="BD30:BH30"/>
    <mergeCell ref="J22:N22"/>
    <mergeCell ref="O22:S22"/>
    <mergeCell ref="T22:X22"/>
    <mergeCell ref="Y22:AC22"/>
    <mergeCell ref="AD22:AH22"/>
    <mergeCell ref="AI22:AL22"/>
    <mergeCell ref="AT30:AT34"/>
    <mergeCell ref="AU30:AZ30"/>
    <mergeCell ref="AU31:AZ31"/>
    <mergeCell ref="T26:V26"/>
    <mergeCell ref="AU34:AZ34"/>
    <mergeCell ref="AU25:AZ25"/>
    <mergeCell ref="C31:M31"/>
    <mergeCell ref="J32:M32"/>
    <mergeCell ref="J33:M33"/>
    <mergeCell ref="O25:Q25"/>
    <mergeCell ref="T25:V25"/>
    <mergeCell ref="Y25:AA25"/>
    <mergeCell ref="AD25:AF25"/>
    <mergeCell ref="BA34:BC34"/>
    <mergeCell ref="Y27:AA27"/>
    <mergeCell ref="AD27:AF27"/>
    <mergeCell ref="BS30:BW30"/>
    <mergeCell ref="B19:B28"/>
    <mergeCell ref="B17:AL17"/>
    <mergeCell ref="AT29:AZ29"/>
    <mergeCell ref="BA29:BC29"/>
    <mergeCell ref="BD29:BH29"/>
    <mergeCell ref="BI29:BM29"/>
    <mergeCell ref="BN29:BR29"/>
    <mergeCell ref="AI19:AL19"/>
    <mergeCell ref="B18:AL18"/>
    <mergeCell ref="AD26:AF26"/>
    <mergeCell ref="AI26:AK26"/>
    <mergeCell ref="D25:H25"/>
    <mergeCell ref="J25:L25"/>
    <mergeCell ref="AU27:AZ27"/>
    <mergeCell ref="BA26:BC26"/>
    <mergeCell ref="BD26:BM26"/>
    <mergeCell ref="BN26:BR26"/>
    <mergeCell ref="BS26:BW26"/>
    <mergeCell ref="BS23:BW23"/>
    <mergeCell ref="C22:H22"/>
    <mergeCell ref="G21:H21"/>
    <mergeCell ref="J21:L21"/>
    <mergeCell ref="O21:Q21"/>
    <mergeCell ref="T21:V21"/>
    <mergeCell ref="BS31:BW31"/>
    <mergeCell ref="C19:H19"/>
    <mergeCell ref="J19:N19"/>
    <mergeCell ref="O19:S19"/>
    <mergeCell ref="T19:X19"/>
    <mergeCell ref="G20:H20"/>
    <mergeCell ref="J20:L20"/>
    <mergeCell ref="O20:Q20"/>
    <mergeCell ref="T20:V20"/>
    <mergeCell ref="D20:F21"/>
    <mergeCell ref="AT23:AT27"/>
    <mergeCell ref="AU23:AZ23"/>
    <mergeCell ref="BA23:BC23"/>
    <mergeCell ref="BD23:BM23"/>
    <mergeCell ref="BN23:BR23"/>
    <mergeCell ref="AU24:AZ24"/>
    <mergeCell ref="BA24:BC24"/>
    <mergeCell ref="BD24:BM24"/>
    <mergeCell ref="BN24:BR24"/>
    <mergeCell ref="BS24:BW24"/>
    <mergeCell ref="CR27:CV27"/>
    <mergeCell ref="BN27:BR27"/>
    <mergeCell ref="BS27:BW27"/>
    <mergeCell ref="BX27:CB27"/>
    <mergeCell ref="CC27:CG27"/>
    <mergeCell ref="BA27:BC27"/>
    <mergeCell ref="BD27:BM27"/>
    <mergeCell ref="BS29:BW29"/>
    <mergeCell ref="Y19:AC19"/>
    <mergeCell ref="AD19:AH19"/>
    <mergeCell ref="AD20:AF20"/>
    <mergeCell ref="AI20:AK20"/>
    <mergeCell ref="Y20:AA20"/>
    <mergeCell ref="Y26:AA26"/>
    <mergeCell ref="CC26:CG26"/>
    <mergeCell ref="CH27:CL27"/>
    <mergeCell ref="CM27:CQ27"/>
    <mergeCell ref="CR25:CV25"/>
    <mergeCell ref="AU26:AZ26"/>
    <mergeCell ref="BD25:BM25"/>
    <mergeCell ref="BN25:BR25"/>
    <mergeCell ref="BS25:BW25"/>
    <mergeCell ref="BX25:CB25"/>
    <mergeCell ref="CC25:CG25"/>
    <mergeCell ref="CH25:CL25"/>
    <mergeCell ref="CH26:CL26"/>
    <mergeCell ref="CM26:CQ26"/>
    <mergeCell ref="CR26:CV26"/>
    <mergeCell ref="BX23:CB23"/>
    <mergeCell ref="CC23:CG23"/>
    <mergeCell ref="CH23:CL23"/>
    <mergeCell ref="CM23:CQ23"/>
    <mergeCell ref="CR23:CV23"/>
    <mergeCell ref="CR24:CV24"/>
    <mergeCell ref="BX24:CB24"/>
    <mergeCell ref="CC24:CG24"/>
    <mergeCell ref="CH24:CL24"/>
    <mergeCell ref="CM24:CQ24"/>
    <mergeCell ref="CM25:CQ25"/>
    <mergeCell ref="BX26:CB26"/>
    <mergeCell ref="CR22:CV22"/>
    <mergeCell ref="AT22:AZ22"/>
    <mergeCell ref="BA22:BC22"/>
    <mergeCell ref="BD22:BM22"/>
    <mergeCell ref="BN22:BR22"/>
    <mergeCell ref="BS22:BW22"/>
    <mergeCell ref="BX22:CB22"/>
    <mergeCell ref="BS14:BW14"/>
    <mergeCell ref="J15:L15"/>
    <mergeCell ref="O15:Q15"/>
    <mergeCell ref="T15:V15"/>
    <mergeCell ref="Y15:AA15"/>
    <mergeCell ref="AD15:AF15"/>
    <mergeCell ref="AI15:AK15"/>
    <mergeCell ref="AD14:AF14"/>
    <mergeCell ref="AI14:AK14"/>
    <mergeCell ref="AU14:AZ14"/>
    <mergeCell ref="BA14:BC14"/>
    <mergeCell ref="AU16:AZ16"/>
    <mergeCell ref="BS16:BW16"/>
    <mergeCell ref="O14:Q14"/>
    <mergeCell ref="T14:V14"/>
    <mergeCell ref="Y21:AA21"/>
    <mergeCell ref="AD21:AF21"/>
    <mergeCell ref="Y12:AA12"/>
    <mergeCell ref="BI12:BM12"/>
    <mergeCell ref="BN12:BR12"/>
    <mergeCell ref="BS12:BW12"/>
    <mergeCell ref="D13:H13"/>
    <mergeCell ref="J13:L13"/>
    <mergeCell ref="CC22:CG22"/>
    <mergeCell ref="CH22:CL22"/>
    <mergeCell ref="CM22:CQ22"/>
    <mergeCell ref="BS13:BW13"/>
    <mergeCell ref="O13:Q13"/>
    <mergeCell ref="T13:V13"/>
    <mergeCell ref="Y13:AA13"/>
    <mergeCell ref="AD13:AF13"/>
    <mergeCell ref="AI13:AK13"/>
    <mergeCell ref="AT13:AT17"/>
    <mergeCell ref="AU13:AZ13"/>
    <mergeCell ref="AU17:AZ17"/>
    <mergeCell ref="BA17:BC17"/>
    <mergeCell ref="BD17:BM17"/>
    <mergeCell ref="BN17:BR17"/>
    <mergeCell ref="BS17:BW17"/>
    <mergeCell ref="BN15:BR15"/>
    <mergeCell ref="BS15:BW15"/>
    <mergeCell ref="BN10:BR10"/>
    <mergeCell ref="Y11:AA11"/>
    <mergeCell ref="AD11:AF11"/>
    <mergeCell ref="AI11:AK11"/>
    <mergeCell ref="AO11:AO12"/>
    <mergeCell ref="BA12:BC12"/>
    <mergeCell ref="BD12:BH12"/>
    <mergeCell ref="BA16:BC16"/>
    <mergeCell ref="BD16:BM16"/>
    <mergeCell ref="BN16:BR16"/>
    <mergeCell ref="BD14:BM14"/>
    <mergeCell ref="BN14:BR14"/>
    <mergeCell ref="AU15:AZ15"/>
    <mergeCell ref="BA15:BC15"/>
    <mergeCell ref="BD15:BM15"/>
    <mergeCell ref="Y14:AA14"/>
    <mergeCell ref="BA13:BC13"/>
    <mergeCell ref="AO10:AP10"/>
    <mergeCell ref="AU10:AZ10"/>
    <mergeCell ref="BA10:BC10"/>
    <mergeCell ref="AI12:AK12"/>
    <mergeCell ref="AT12:AZ12"/>
    <mergeCell ref="AD12:AF12"/>
    <mergeCell ref="BD13:BH13"/>
    <mergeCell ref="BI13:BM13"/>
    <mergeCell ref="BN13:BR13"/>
    <mergeCell ref="CC9:CG9"/>
    <mergeCell ref="CH9:CL9"/>
    <mergeCell ref="CM9:CQ9"/>
    <mergeCell ref="CR9:CV9"/>
    <mergeCell ref="D10:H10"/>
    <mergeCell ref="J10:L10"/>
    <mergeCell ref="O10:Q10"/>
    <mergeCell ref="T10:V10"/>
    <mergeCell ref="Y10:AA10"/>
    <mergeCell ref="AD10:AF10"/>
    <mergeCell ref="AU9:AZ9"/>
    <mergeCell ref="BA9:BC9"/>
    <mergeCell ref="BD9:BM9"/>
    <mergeCell ref="BN9:BR9"/>
    <mergeCell ref="BS9:BW9"/>
    <mergeCell ref="BX9:CB9"/>
    <mergeCell ref="BS10:BW10"/>
    <mergeCell ref="BX10:CB10"/>
    <mergeCell ref="CC10:CG10"/>
    <mergeCell ref="CH10:CL10"/>
    <mergeCell ref="CM10:CQ10"/>
    <mergeCell ref="CR10:CV10"/>
    <mergeCell ref="AI10:AK10"/>
    <mergeCell ref="BD10:BM10"/>
    <mergeCell ref="CR7:CV7"/>
    <mergeCell ref="G8:H8"/>
    <mergeCell ref="J8:L8"/>
    <mergeCell ref="O8:Q8"/>
    <mergeCell ref="T8:V8"/>
    <mergeCell ref="Y8:AA8"/>
    <mergeCell ref="AD8:AF8"/>
    <mergeCell ref="AI8:AK8"/>
    <mergeCell ref="AO8:AP8"/>
    <mergeCell ref="BD7:BM7"/>
    <mergeCell ref="BN7:BR7"/>
    <mergeCell ref="BS7:BW7"/>
    <mergeCell ref="BX7:CB7"/>
    <mergeCell ref="CC7:CG7"/>
    <mergeCell ref="CH7:CL7"/>
    <mergeCell ref="AU8:AZ8"/>
    <mergeCell ref="BA8:BC8"/>
    <mergeCell ref="CM8:CQ8"/>
    <mergeCell ref="CR8:CV8"/>
    <mergeCell ref="CH8:CL8"/>
    <mergeCell ref="AU7:AZ7"/>
    <mergeCell ref="BA7:BC7"/>
    <mergeCell ref="D7:F8"/>
    <mergeCell ref="G7:H7"/>
    <mergeCell ref="J7:L7"/>
    <mergeCell ref="O7:Q7"/>
    <mergeCell ref="T7:V7"/>
    <mergeCell ref="Y7:AA7"/>
    <mergeCell ref="AD7:AF7"/>
    <mergeCell ref="AI7:AK7"/>
    <mergeCell ref="BD6:BM6"/>
    <mergeCell ref="AD6:AH6"/>
    <mergeCell ref="AI6:AL6"/>
    <mergeCell ref="AO6:AO7"/>
    <mergeCell ref="AT6:AT10"/>
    <mergeCell ref="AD9:AH9"/>
    <mergeCell ref="AI9:AL9"/>
    <mergeCell ref="AO9:AP9"/>
    <mergeCell ref="BD8:BM8"/>
    <mergeCell ref="C6:H6"/>
    <mergeCell ref="J6:N6"/>
    <mergeCell ref="O6:S6"/>
    <mergeCell ref="T6:X6"/>
    <mergeCell ref="Y6:AC6"/>
    <mergeCell ref="C9:H9"/>
    <mergeCell ref="J9:N9"/>
    <mergeCell ref="BS5:BW5"/>
    <mergeCell ref="BX5:CB5"/>
    <mergeCell ref="CC5:CG5"/>
    <mergeCell ref="CH5:CL5"/>
    <mergeCell ref="CM5:CQ5"/>
    <mergeCell ref="BN8:BR8"/>
    <mergeCell ref="BS8:BW8"/>
    <mergeCell ref="BX8:CB8"/>
    <mergeCell ref="CC8:CG8"/>
    <mergeCell ref="CM6:CQ6"/>
    <mergeCell ref="BN6:BR6"/>
    <mergeCell ref="BS6:BW6"/>
    <mergeCell ref="BX6:CB6"/>
    <mergeCell ref="CC6:CG6"/>
    <mergeCell ref="CH6:CL6"/>
    <mergeCell ref="CM7:CQ7"/>
    <mergeCell ref="CR5:CV5"/>
    <mergeCell ref="B5:AL5"/>
    <mergeCell ref="AO5:AP5"/>
    <mergeCell ref="AT5:AZ5"/>
    <mergeCell ref="BA5:BC5"/>
    <mergeCell ref="BD5:BM5"/>
    <mergeCell ref="BN5:BR5"/>
    <mergeCell ref="AU6:AZ6"/>
    <mergeCell ref="BA6:BC6"/>
    <mergeCell ref="CR6:CV6"/>
    <mergeCell ref="B6:B15"/>
    <mergeCell ref="D11:H11"/>
    <mergeCell ref="J11:L11"/>
    <mergeCell ref="O11:Q11"/>
    <mergeCell ref="T11:V11"/>
    <mergeCell ref="O9:S9"/>
    <mergeCell ref="T9:X9"/>
    <mergeCell ref="Y9:AC9"/>
    <mergeCell ref="D14:F15"/>
    <mergeCell ref="J14:L14"/>
    <mergeCell ref="D12:H12"/>
    <mergeCell ref="J12:L12"/>
    <mergeCell ref="O12:Q12"/>
    <mergeCell ref="T12:V12"/>
  </mergeCells>
  <phoneticPr fontId="2"/>
  <conditionalFormatting sqref="E38:Y41">
    <cfRule type="cellIs" dxfId="16" priority="4"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E36:Y37">
    <cfRule type="cellIs" dxfId="15" priority="2" operator="equal">
      <formula>"「いしかわモデル」導入の事業費が既存処理体系の事業費を上回っています。 以下の対応により、「いしかわモデル」導入における課題を解消できる可能性があります。"")"</formula>
    </cfRule>
    <cfRule type="cellIs" dxfId="14" priority="3" operator="equal">
      <formula>"「いしかわモデル」の導入による、事業費の低減が期待できます。"</formula>
    </cfRule>
  </conditionalFormatting>
  <conditionalFormatting sqref="C33 J32:J33">
    <cfRule type="cellIs" dxfId="13" priority="1"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pageMargins left="0.7" right="0.7" top="0.75" bottom="0.75" header="0.3" footer="0.3"/>
  <pageSetup paperSize="9" scale="5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pageSetUpPr fitToPage="1"/>
  </sheetPr>
  <dimension ref="B2:BU99"/>
  <sheetViews>
    <sheetView showGridLines="0" topLeftCell="A83" workbookViewId="0">
      <selection activeCell="B9" sqref="B9:BK9"/>
    </sheetView>
  </sheetViews>
  <sheetFormatPr defaultRowHeight="15.95" customHeight="1"/>
  <cols>
    <col min="1" max="177" width="3.625" style="264" customWidth="1"/>
    <col min="178" max="16384" width="9" style="264"/>
  </cols>
  <sheetData>
    <row r="2" spans="2:70" ht="15.95" customHeight="1">
      <c r="B2" s="264" t="s">
        <v>205</v>
      </c>
    </row>
    <row r="4" spans="2:70" ht="15.95" customHeight="1">
      <c r="B4" s="887" t="s">
        <v>539</v>
      </c>
      <c r="C4" s="888"/>
      <c r="D4" s="889"/>
      <c r="E4" s="360" t="s">
        <v>536</v>
      </c>
      <c r="F4" s="264" t="s">
        <v>538</v>
      </c>
    </row>
    <row r="6" spans="2:70" ht="15.95" customHeight="1">
      <c r="B6" s="890" t="s">
        <v>537</v>
      </c>
      <c r="C6" s="891"/>
      <c r="D6" s="892"/>
      <c r="E6" s="360" t="s">
        <v>536</v>
      </c>
      <c r="F6" s="264" t="s">
        <v>546</v>
      </c>
    </row>
    <row r="7" spans="2:70" ht="15.95" customHeight="1">
      <c r="F7" s="264" t="s">
        <v>540</v>
      </c>
    </row>
    <row r="9" spans="2:70" ht="15.95" customHeight="1" thickBot="1">
      <c r="B9" s="893" t="s">
        <v>339</v>
      </c>
      <c r="C9" s="893"/>
      <c r="D9" s="893"/>
      <c r="E9" s="893"/>
      <c r="F9" s="893"/>
      <c r="G9" s="893"/>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3"/>
      <c r="AY9" s="893"/>
      <c r="AZ9" s="893"/>
      <c r="BA9" s="893"/>
      <c r="BB9" s="893"/>
      <c r="BC9" s="893"/>
      <c r="BD9" s="893"/>
      <c r="BE9" s="893"/>
      <c r="BF9" s="893"/>
      <c r="BG9" s="893"/>
      <c r="BH9" s="893"/>
      <c r="BI9" s="893"/>
      <c r="BJ9" s="893"/>
      <c r="BK9" s="893"/>
    </row>
    <row r="10" spans="2:70" ht="15.95" customHeight="1" thickBot="1">
      <c r="B10" s="894" t="s">
        <v>23</v>
      </c>
      <c r="C10" s="895"/>
      <c r="D10" s="895"/>
      <c r="E10" s="895"/>
      <c r="F10" s="895"/>
      <c r="G10" s="895"/>
      <c r="H10" s="896"/>
      <c r="I10" s="897" t="s">
        <v>24</v>
      </c>
      <c r="J10" s="897"/>
      <c r="K10" s="897"/>
      <c r="L10" s="898" t="s">
        <v>459</v>
      </c>
      <c r="M10" s="895"/>
      <c r="N10" s="895"/>
      <c r="O10" s="895"/>
      <c r="P10" s="895"/>
      <c r="Q10" s="895"/>
      <c r="R10" s="895"/>
      <c r="S10" s="895"/>
      <c r="T10" s="895"/>
      <c r="U10" s="896"/>
      <c r="V10" s="897" t="s">
        <v>114</v>
      </c>
      <c r="W10" s="897"/>
      <c r="X10" s="897"/>
      <c r="Y10" s="897"/>
      <c r="Z10" s="897"/>
      <c r="AA10" s="897" t="s">
        <v>115</v>
      </c>
      <c r="AB10" s="897"/>
      <c r="AC10" s="897"/>
      <c r="AD10" s="897"/>
      <c r="AE10" s="897"/>
      <c r="AF10" s="897" t="s">
        <v>116</v>
      </c>
      <c r="AG10" s="897"/>
      <c r="AH10" s="897"/>
      <c r="AI10" s="897"/>
      <c r="AJ10" s="897"/>
      <c r="AK10" s="897" t="s">
        <v>117</v>
      </c>
      <c r="AL10" s="897"/>
      <c r="AM10" s="897"/>
      <c r="AN10" s="897"/>
      <c r="AO10" s="897"/>
      <c r="AP10" s="898" t="s">
        <v>319</v>
      </c>
      <c r="AQ10" s="895"/>
      <c r="AR10" s="895"/>
      <c r="AS10" s="895"/>
      <c r="AT10" s="896"/>
      <c r="AU10" s="897" t="s">
        <v>320</v>
      </c>
      <c r="AV10" s="897"/>
      <c r="AW10" s="897"/>
      <c r="AX10" s="897"/>
      <c r="AY10" s="897"/>
      <c r="AZ10" s="898" t="s">
        <v>25</v>
      </c>
      <c r="BA10" s="895"/>
      <c r="BB10" s="895"/>
      <c r="BC10" s="895"/>
      <c r="BD10" s="895"/>
      <c r="BE10" s="895"/>
      <c r="BF10" s="895"/>
      <c r="BG10" s="895"/>
      <c r="BH10" s="895"/>
      <c r="BI10" s="895"/>
      <c r="BJ10" s="895"/>
      <c r="BK10" s="899"/>
      <c r="BL10" s="474"/>
      <c r="BM10" s="474"/>
      <c r="BN10" s="474"/>
      <c r="BO10" s="435"/>
      <c r="BP10" s="475"/>
      <c r="BQ10" s="435"/>
      <c r="BR10" s="435"/>
    </row>
    <row r="11" spans="2:70" ht="15.95" customHeight="1">
      <c r="B11" s="900" t="s">
        <v>445</v>
      </c>
      <c r="C11" s="902" t="s">
        <v>275</v>
      </c>
      <c r="D11" s="902"/>
      <c r="E11" s="902"/>
      <c r="F11" s="902"/>
      <c r="G11" s="902"/>
      <c r="H11" s="902"/>
      <c r="I11" s="903"/>
      <c r="J11" s="903"/>
      <c r="K11" s="903"/>
      <c r="L11" s="904"/>
      <c r="M11" s="905"/>
      <c r="N11" s="905"/>
      <c r="O11" s="905"/>
      <c r="P11" s="905"/>
      <c r="Q11" s="905"/>
      <c r="R11" s="905"/>
      <c r="S11" s="905"/>
      <c r="T11" s="905"/>
      <c r="U11" s="906"/>
      <c r="V11" s="904"/>
      <c r="W11" s="905"/>
      <c r="X11" s="905"/>
      <c r="Y11" s="905"/>
      <c r="Z11" s="906"/>
      <c r="AA11" s="904"/>
      <c r="AB11" s="905"/>
      <c r="AC11" s="905"/>
      <c r="AD11" s="905"/>
      <c r="AE11" s="906"/>
      <c r="AF11" s="904"/>
      <c r="AG11" s="905"/>
      <c r="AH11" s="905"/>
      <c r="AI11" s="905"/>
      <c r="AJ11" s="906"/>
      <c r="AK11" s="904"/>
      <c r="AL11" s="905"/>
      <c r="AM11" s="905"/>
      <c r="AN11" s="905"/>
      <c r="AO11" s="906"/>
      <c r="AP11" s="904"/>
      <c r="AQ11" s="905"/>
      <c r="AR11" s="905"/>
      <c r="AS11" s="905"/>
      <c r="AT11" s="906"/>
      <c r="AU11" s="910"/>
      <c r="AV11" s="911"/>
      <c r="AW11" s="911"/>
      <c r="AX11" s="911"/>
      <c r="AY11" s="912"/>
      <c r="AZ11" s="913" t="s">
        <v>482</v>
      </c>
      <c r="BA11" s="914"/>
      <c r="BB11" s="914"/>
      <c r="BC11" s="914"/>
      <c r="BD11" s="914"/>
      <c r="BE11" s="914"/>
      <c r="BF11" s="914"/>
      <c r="BG11" s="914"/>
      <c r="BH11" s="914"/>
      <c r="BI11" s="914"/>
      <c r="BJ11" s="914"/>
      <c r="BK11" s="915"/>
      <c r="BL11" s="332"/>
      <c r="BM11" s="332"/>
      <c r="BN11" s="332"/>
      <c r="BO11" s="435"/>
      <c r="BP11" s="435"/>
      <c r="BQ11" s="435"/>
      <c r="BR11" s="435"/>
    </row>
    <row r="12" spans="2:70" ht="15.95" customHeight="1">
      <c r="B12" s="900"/>
      <c r="C12" s="908" t="s">
        <v>458</v>
      </c>
      <c r="D12" s="908"/>
      <c r="E12" s="908"/>
      <c r="F12" s="908"/>
      <c r="G12" s="908"/>
      <c r="H12" s="908"/>
      <c r="I12" s="922" t="s">
        <v>217</v>
      </c>
      <c r="J12" s="922"/>
      <c r="K12" s="922"/>
      <c r="L12" s="923"/>
      <c r="M12" s="923"/>
      <c r="N12" s="923"/>
      <c r="O12" s="923"/>
      <c r="P12" s="923"/>
      <c r="Q12" s="923"/>
      <c r="R12" s="923"/>
      <c r="S12" s="923"/>
      <c r="T12" s="923"/>
      <c r="U12" s="923"/>
      <c r="V12" s="923"/>
      <c r="W12" s="923"/>
      <c r="X12" s="923"/>
      <c r="Y12" s="923"/>
      <c r="Z12" s="923"/>
      <c r="AA12" s="923"/>
      <c r="AB12" s="923"/>
      <c r="AC12" s="923"/>
      <c r="AD12" s="923"/>
      <c r="AE12" s="923"/>
      <c r="AF12" s="924"/>
      <c r="AG12" s="925"/>
      <c r="AH12" s="925"/>
      <c r="AI12" s="925"/>
      <c r="AJ12" s="926"/>
      <c r="AK12" s="923"/>
      <c r="AL12" s="923"/>
      <c r="AM12" s="923"/>
      <c r="AN12" s="923"/>
      <c r="AO12" s="923"/>
      <c r="AP12" s="923"/>
      <c r="AQ12" s="923"/>
      <c r="AR12" s="923"/>
      <c r="AS12" s="923"/>
      <c r="AT12" s="923"/>
      <c r="AU12" s="924"/>
      <c r="AV12" s="925"/>
      <c r="AW12" s="925"/>
      <c r="AX12" s="925"/>
      <c r="AY12" s="926"/>
      <c r="AZ12" s="916"/>
      <c r="BA12" s="917"/>
      <c r="BB12" s="917"/>
      <c r="BC12" s="917"/>
      <c r="BD12" s="917"/>
      <c r="BE12" s="917"/>
      <c r="BF12" s="917"/>
      <c r="BG12" s="917"/>
      <c r="BH12" s="917"/>
      <c r="BI12" s="917"/>
      <c r="BJ12" s="917"/>
      <c r="BK12" s="918"/>
      <c r="BL12" s="332"/>
      <c r="BM12" s="332"/>
      <c r="BN12" s="332"/>
      <c r="BO12" s="930"/>
      <c r="BP12" s="930"/>
      <c r="BQ12" s="930"/>
      <c r="BR12" s="435"/>
    </row>
    <row r="13" spans="2:70" ht="15.95" customHeight="1">
      <c r="B13" s="900"/>
      <c r="C13" s="908" t="s">
        <v>158</v>
      </c>
      <c r="D13" s="908"/>
      <c r="E13" s="908"/>
      <c r="F13" s="908"/>
      <c r="G13" s="908"/>
      <c r="H13" s="908"/>
      <c r="I13" s="909" t="s">
        <v>148</v>
      </c>
      <c r="J13" s="909"/>
      <c r="K13" s="909"/>
      <c r="L13" s="922" t="s">
        <v>196</v>
      </c>
      <c r="M13" s="922"/>
      <c r="N13" s="922"/>
      <c r="O13" s="922"/>
      <c r="P13" s="922"/>
      <c r="Q13" s="922" t="s">
        <v>279</v>
      </c>
      <c r="R13" s="922"/>
      <c r="S13" s="922"/>
      <c r="T13" s="922"/>
      <c r="U13" s="922"/>
      <c r="V13" s="931"/>
      <c r="W13" s="931"/>
      <c r="X13" s="931"/>
      <c r="Y13" s="931"/>
      <c r="Z13" s="931"/>
      <c r="AA13" s="931"/>
      <c r="AB13" s="931"/>
      <c r="AC13" s="931"/>
      <c r="AD13" s="931"/>
      <c r="AE13" s="931"/>
      <c r="AF13" s="931"/>
      <c r="AG13" s="931"/>
      <c r="AH13" s="931"/>
      <c r="AI13" s="931"/>
      <c r="AJ13" s="931"/>
      <c r="AK13" s="931"/>
      <c r="AL13" s="931"/>
      <c r="AM13" s="931"/>
      <c r="AN13" s="931"/>
      <c r="AO13" s="931"/>
      <c r="AP13" s="931"/>
      <c r="AQ13" s="931"/>
      <c r="AR13" s="931"/>
      <c r="AS13" s="931"/>
      <c r="AT13" s="931"/>
      <c r="AU13" s="931"/>
      <c r="AV13" s="931"/>
      <c r="AW13" s="931"/>
      <c r="AX13" s="931"/>
      <c r="AY13" s="931"/>
      <c r="AZ13" s="916"/>
      <c r="BA13" s="917"/>
      <c r="BB13" s="917"/>
      <c r="BC13" s="917"/>
      <c r="BD13" s="917"/>
      <c r="BE13" s="917"/>
      <c r="BF13" s="917"/>
      <c r="BG13" s="917"/>
      <c r="BH13" s="917"/>
      <c r="BI13" s="917"/>
      <c r="BJ13" s="917"/>
      <c r="BK13" s="918"/>
      <c r="BL13" s="332"/>
      <c r="BM13" s="332"/>
      <c r="BN13" s="332"/>
      <c r="BO13" s="435"/>
      <c r="BP13" s="435"/>
      <c r="BQ13" s="435"/>
      <c r="BR13" s="435"/>
    </row>
    <row r="14" spans="2:70" ht="15.95" customHeight="1">
      <c r="B14" s="900"/>
      <c r="C14" s="908" t="s">
        <v>332</v>
      </c>
      <c r="D14" s="908"/>
      <c r="E14" s="908"/>
      <c r="F14" s="908"/>
      <c r="G14" s="908"/>
      <c r="H14" s="908"/>
      <c r="I14" s="909" t="s">
        <v>329</v>
      </c>
      <c r="J14" s="909"/>
      <c r="K14" s="909"/>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7"/>
      <c r="AY14" s="907"/>
      <c r="AZ14" s="916"/>
      <c r="BA14" s="917"/>
      <c r="BB14" s="917"/>
      <c r="BC14" s="917"/>
      <c r="BD14" s="917"/>
      <c r="BE14" s="917"/>
      <c r="BF14" s="917"/>
      <c r="BG14" s="917"/>
      <c r="BH14" s="917"/>
      <c r="BI14" s="917"/>
      <c r="BJ14" s="917"/>
      <c r="BK14" s="918"/>
      <c r="BL14" s="332"/>
      <c r="BM14" s="332"/>
      <c r="BN14" s="332"/>
      <c r="BO14" s="435"/>
      <c r="BP14" s="435"/>
      <c r="BQ14" s="435"/>
      <c r="BR14" s="435"/>
    </row>
    <row r="15" spans="2:70" ht="15.95" customHeight="1">
      <c r="B15" s="900"/>
      <c r="C15" s="927" t="s">
        <v>475</v>
      </c>
      <c r="D15" s="928"/>
      <c r="E15" s="928"/>
      <c r="F15" s="928"/>
      <c r="G15" s="928"/>
      <c r="H15" s="929"/>
      <c r="I15" s="909" t="s">
        <v>148</v>
      </c>
      <c r="J15" s="909"/>
      <c r="K15" s="909"/>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7"/>
      <c r="AY15" s="907"/>
      <c r="AZ15" s="916"/>
      <c r="BA15" s="917"/>
      <c r="BB15" s="917"/>
      <c r="BC15" s="917"/>
      <c r="BD15" s="917"/>
      <c r="BE15" s="917"/>
      <c r="BF15" s="917"/>
      <c r="BG15" s="917"/>
      <c r="BH15" s="917"/>
      <c r="BI15" s="917"/>
      <c r="BJ15" s="917"/>
      <c r="BK15" s="918"/>
      <c r="BL15" s="332"/>
      <c r="BM15" s="332"/>
      <c r="BN15" s="332"/>
      <c r="BO15" s="435"/>
      <c r="BP15" s="435"/>
      <c r="BQ15" s="435"/>
      <c r="BR15" s="435"/>
    </row>
    <row r="16" spans="2:70" ht="15.95" customHeight="1">
      <c r="B16" s="900"/>
      <c r="C16" s="932" t="s">
        <v>71</v>
      </c>
      <c r="D16" s="932"/>
      <c r="E16" s="932"/>
      <c r="F16" s="932"/>
      <c r="G16" s="932"/>
      <c r="H16" s="932"/>
      <c r="I16" s="909" t="s">
        <v>21</v>
      </c>
      <c r="J16" s="909"/>
      <c r="K16" s="909"/>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7"/>
      <c r="AN16" s="907"/>
      <c r="AO16" s="907"/>
      <c r="AP16" s="907"/>
      <c r="AQ16" s="907"/>
      <c r="AR16" s="907"/>
      <c r="AS16" s="907"/>
      <c r="AT16" s="907"/>
      <c r="AU16" s="907"/>
      <c r="AV16" s="907"/>
      <c r="AW16" s="907"/>
      <c r="AX16" s="907"/>
      <c r="AY16" s="907"/>
      <c r="AZ16" s="916"/>
      <c r="BA16" s="917"/>
      <c r="BB16" s="917"/>
      <c r="BC16" s="917"/>
      <c r="BD16" s="917"/>
      <c r="BE16" s="917"/>
      <c r="BF16" s="917"/>
      <c r="BG16" s="917"/>
      <c r="BH16" s="917"/>
      <c r="BI16" s="917"/>
      <c r="BJ16" s="917"/>
      <c r="BK16" s="918"/>
      <c r="BL16" s="332"/>
      <c r="BM16" s="332"/>
      <c r="BN16" s="332"/>
      <c r="BO16" s="435"/>
      <c r="BP16" s="435"/>
      <c r="BQ16" s="435"/>
      <c r="BR16" s="435"/>
    </row>
    <row r="17" spans="2:73" ht="15.95" customHeight="1">
      <c r="B17" s="900"/>
      <c r="C17" s="908" t="s">
        <v>160</v>
      </c>
      <c r="D17" s="908"/>
      <c r="E17" s="908"/>
      <c r="F17" s="908"/>
      <c r="G17" s="908"/>
      <c r="H17" s="908"/>
      <c r="I17" s="909" t="s">
        <v>20</v>
      </c>
      <c r="J17" s="909"/>
      <c r="K17" s="909"/>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7"/>
      <c r="AN17" s="907"/>
      <c r="AO17" s="907"/>
      <c r="AP17" s="907"/>
      <c r="AQ17" s="907"/>
      <c r="AR17" s="907"/>
      <c r="AS17" s="907"/>
      <c r="AT17" s="907"/>
      <c r="AU17" s="907"/>
      <c r="AV17" s="907"/>
      <c r="AW17" s="907"/>
      <c r="AX17" s="907"/>
      <c r="AY17" s="907"/>
      <c r="AZ17" s="916"/>
      <c r="BA17" s="917"/>
      <c r="BB17" s="917"/>
      <c r="BC17" s="917"/>
      <c r="BD17" s="917"/>
      <c r="BE17" s="917"/>
      <c r="BF17" s="917"/>
      <c r="BG17" s="917"/>
      <c r="BH17" s="917"/>
      <c r="BI17" s="917"/>
      <c r="BJ17" s="917"/>
      <c r="BK17" s="918"/>
      <c r="BL17" s="332"/>
      <c r="BM17" s="332"/>
      <c r="BN17" s="332"/>
      <c r="BO17" s="435"/>
      <c r="BP17" s="435"/>
      <c r="BQ17" s="435"/>
      <c r="BR17" s="435"/>
    </row>
    <row r="18" spans="2:73" ht="15.95" customHeight="1">
      <c r="B18" s="900"/>
      <c r="C18" s="908" t="s">
        <v>161</v>
      </c>
      <c r="D18" s="908"/>
      <c r="E18" s="908"/>
      <c r="F18" s="908"/>
      <c r="G18" s="908"/>
      <c r="H18" s="908"/>
      <c r="I18" s="909" t="s">
        <v>27</v>
      </c>
      <c r="J18" s="909"/>
      <c r="K18" s="909"/>
      <c r="L18" s="907"/>
      <c r="M18" s="907"/>
      <c r="N18" s="907"/>
      <c r="O18" s="907"/>
      <c r="P18" s="907"/>
      <c r="Q18" s="907"/>
      <c r="R18" s="907"/>
      <c r="S18" s="907"/>
      <c r="T18" s="907"/>
      <c r="U18" s="907"/>
      <c r="V18" s="907"/>
      <c r="W18" s="907"/>
      <c r="X18" s="907"/>
      <c r="Y18" s="907"/>
      <c r="Z18" s="907"/>
      <c r="AA18" s="907"/>
      <c r="AB18" s="907"/>
      <c r="AC18" s="907"/>
      <c r="AD18" s="907"/>
      <c r="AE18" s="907"/>
      <c r="AF18" s="907"/>
      <c r="AG18" s="907"/>
      <c r="AH18" s="907"/>
      <c r="AI18" s="907"/>
      <c r="AJ18" s="907"/>
      <c r="AK18" s="907"/>
      <c r="AL18" s="907"/>
      <c r="AM18" s="907"/>
      <c r="AN18" s="907"/>
      <c r="AO18" s="907"/>
      <c r="AP18" s="907"/>
      <c r="AQ18" s="907"/>
      <c r="AR18" s="907"/>
      <c r="AS18" s="907"/>
      <c r="AT18" s="907"/>
      <c r="AU18" s="907"/>
      <c r="AV18" s="907"/>
      <c r="AW18" s="907"/>
      <c r="AX18" s="907"/>
      <c r="AY18" s="907"/>
      <c r="AZ18" s="916"/>
      <c r="BA18" s="917"/>
      <c r="BB18" s="917"/>
      <c r="BC18" s="917"/>
      <c r="BD18" s="917"/>
      <c r="BE18" s="917"/>
      <c r="BF18" s="917"/>
      <c r="BG18" s="917"/>
      <c r="BH18" s="917"/>
      <c r="BI18" s="917"/>
      <c r="BJ18" s="917"/>
      <c r="BK18" s="918"/>
      <c r="BL18" s="332"/>
      <c r="BM18" s="332"/>
      <c r="BN18" s="332"/>
      <c r="BO18" s="435"/>
      <c r="BP18" s="435"/>
      <c r="BQ18" s="435"/>
      <c r="BR18" s="435"/>
      <c r="BS18" s="435"/>
      <c r="BT18" s="435"/>
      <c r="BU18" s="435"/>
    </row>
    <row r="19" spans="2:73" ht="15.95" customHeight="1">
      <c r="B19" s="900"/>
      <c r="C19" s="932" t="s">
        <v>73</v>
      </c>
      <c r="D19" s="932"/>
      <c r="E19" s="932"/>
      <c r="F19" s="932"/>
      <c r="G19" s="932"/>
      <c r="H19" s="932"/>
      <c r="I19" s="909" t="s">
        <v>494</v>
      </c>
      <c r="J19" s="909"/>
      <c r="K19" s="909"/>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7"/>
      <c r="AW19" s="907"/>
      <c r="AX19" s="907"/>
      <c r="AY19" s="907"/>
      <c r="AZ19" s="916"/>
      <c r="BA19" s="917"/>
      <c r="BB19" s="917"/>
      <c r="BC19" s="917"/>
      <c r="BD19" s="917"/>
      <c r="BE19" s="917"/>
      <c r="BF19" s="917"/>
      <c r="BG19" s="917"/>
      <c r="BH19" s="917"/>
      <c r="BI19" s="917"/>
      <c r="BJ19" s="917"/>
      <c r="BK19" s="918"/>
      <c r="BL19" s="332"/>
      <c r="BM19" s="332"/>
      <c r="BN19" s="332"/>
      <c r="BO19" s="435"/>
      <c r="BP19" s="435"/>
      <c r="BQ19" s="476"/>
      <c r="BR19" s="435"/>
      <c r="BS19" s="435"/>
      <c r="BT19" s="435"/>
      <c r="BU19" s="435"/>
    </row>
    <row r="20" spans="2:73" ht="15.95" customHeight="1" thickBot="1">
      <c r="B20" s="900"/>
      <c r="C20" s="933" t="s">
        <v>74</v>
      </c>
      <c r="D20" s="933"/>
      <c r="E20" s="933"/>
      <c r="F20" s="933"/>
      <c r="G20" s="933"/>
      <c r="H20" s="933"/>
      <c r="I20" s="934" t="s">
        <v>466</v>
      </c>
      <c r="J20" s="934"/>
      <c r="K20" s="934"/>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5"/>
      <c r="AR20" s="935"/>
      <c r="AS20" s="935"/>
      <c r="AT20" s="935"/>
      <c r="AU20" s="935"/>
      <c r="AV20" s="935"/>
      <c r="AW20" s="935"/>
      <c r="AX20" s="935"/>
      <c r="AY20" s="935"/>
      <c r="AZ20" s="919"/>
      <c r="BA20" s="920"/>
      <c r="BB20" s="920"/>
      <c r="BC20" s="920"/>
      <c r="BD20" s="920"/>
      <c r="BE20" s="920"/>
      <c r="BF20" s="920"/>
      <c r="BG20" s="920"/>
      <c r="BH20" s="920"/>
      <c r="BI20" s="920"/>
      <c r="BJ20" s="920"/>
      <c r="BK20" s="921"/>
      <c r="BL20" s="332"/>
      <c r="BM20" s="332"/>
      <c r="BN20" s="332"/>
      <c r="BO20" s="435"/>
      <c r="BP20" s="435"/>
      <c r="BQ20" s="435"/>
      <c r="BR20" s="435"/>
      <c r="BS20" s="435"/>
      <c r="BT20" s="435"/>
      <c r="BU20" s="435"/>
    </row>
    <row r="21" spans="2:73" ht="15.95" customHeight="1">
      <c r="B21" s="900"/>
      <c r="C21" s="927" t="s">
        <v>219</v>
      </c>
      <c r="D21" s="928"/>
      <c r="E21" s="928"/>
      <c r="F21" s="928"/>
      <c r="G21" s="928"/>
      <c r="H21" s="929"/>
      <c r="I21" s="940" t="s">
        <v>467</v>
      </c>
      <c r="J21" s="941"/>
      <c r="K21" s="942"/>
      <c r="L21" s="943">
        <f>ROUND(Q14*365,2)</f>
        <v>0</v>
      </c>
      <c r="M21" s="944"/>
      <c r="N21" s="944"/>
      <c r="O21" s="944"/>
      <c r="P21" s="944"/>
      <c r="Q21" s="944"/>
      <c r="R21" s="944"/>
      <c r="S21" s="944"/>
      <c r="T21" s="944"/>
      <c r="U21" s="945"/>
      <c r="V21" s="943">
        <f>ROUND(V14*365,2)</f>
        <v>0</v>
      </c>
      <c r="W21" s="944"/>
      <c r="X21" s="944"/>
      <c r="Y21" s="944"/>
      <c r="Z21" s="945"/>
      <c r="AA21" s="943">
        <f>ROUND(AA14*365,2)</f>
        <v>0</v>
      </c>
      <c r="AB21" s="944"/>
      <c r="AC21" s="944"/>
      <c r="AD21" s="944"/>
      <c r="AE21" s="945"/>
      <c r="AF21" s="943">
        <f>ROUND(AF14*365,2)</f>
        <v>0</v>
      </c>
      <c r="AG21" s="944"/>
      <c r="AH21" s="944"/>
      <c r="AI21" s="944"/>
      <c r="AJ21" s="945"/>
      <c r="AK21" s="943">
        <f>ROUND(AK14*365,2)</f>
        <v>0</v>
      </c>
      <c r="AL21" s="944"/>
      <c r="AM21" s="944"/>
      <c r="AN21" s="944"/>
      <c r="AO21" s="945"/>
      <c r="AP21" s="943">
        <f>ROUND(AP14*365,2)</f>
        <v>0</v>
      </c>
      <c r="AQ21" s="944"/>
      <c r="AR21" s="944"/>
      <c r="AS21" s="944"/>
      <c r="AT21" s="945"/>
      <c r="AU21" s="943">
        <f t="shared" ref="AU21" si="0">ROUND(AU14*365,2)</f>
        <v>0</v>
      </c>
      <c r="AV21" s="944"/>
      <c r="AW21" s="944"/>
      <c r="AX21" s="944"/>
      <c r="AY21" s="945"/>
      <c r="AZ21" s="913" t="s">
        <v>473</v>
      </c>
      <c r="BA21" s="914"/>
      <c r="BB21" s="914"/>
      <c r="BC21" s="914"/>
      <c r="BD21" s="914"/>
      <c r="BE21" s="914"/>
      <c r="BF21" s="914"/>
      <c r="BG21" s="914"/>
      <c r="BH21" s="914"/>
      <c r="BI21" s="914"/>
      <c r="BJ21" s="914"/>
      <c r="BK21" s="915"/>
      <c r="BL21" s="332"/>
      <c r="BM21" s="332"/>
      <c r="BN21" s="332"/>
      <c r="BO21" s="435"/>
      <c r="BP21" s="435"/>
      <c r="BQ21" s="435"/>
      <c r="BR21" s="435"/>
      <c r="BS21" s="435"/>
      <c r="BT21" s="435"/>
      <c r="BU21" s="435"/>
    </row>
    <row r="22" spans="2:73" ht="15.95" customHeight="1">
      <c r="B22" s="900"/>
      <c r="C22" s="927" t="s">
        <v>208</v>
      </c>
      <c r="D22" s="928"/>
      <c r="E22" s="928"/>
      <c r="F22" s="928"/>
      <c r="G22" s="928"/>
      <c r="H22" s="929"/>
      <c r="I22" s="949" t="s">
        <v>578</v>
      </c>
      <c r="J22" s="950"/>
      <c r="K22" s="951"/>
      <c r="L22" s="922" t="s">
        <v>217</v>
      </c>
      <c r="M22" s="922"/>
      <c r="N22" s="922"/>
      <c r="O22" s="922"/>
      <c r="P22" s="922"/>
      <c r="Q22" s="952"/>
      <c r="R22" s="931"/>
      <c r="S22" s="931"/>
      <c r="T22" s="931"/>
      <c r="U22" s="931"/>
      <c r="V22" s="953"/>
      <c r="W22" s="888"/>
      <c r="X22" s="888"/>
      <c r="Y22" s="888"/>
      <c r="Z22" s="889"/>
      <c r="AA22" s="953"/>
      <c r="AB22" s="888"/>
      <c r="AC22" s="888"/>
      <c r="AD22" s="888"/>
      <c r="AE22" s="889"/>
      <c r="AF22" s="953"/>
      <c r="AG22" s="888"/>
      <c r="AH22" s="888"/>
      <c r="AI22" s="888"/>
      <c r="AJ22" s="889"/>
      <c r="AK22" s="953"/>
      <c r="AL22" s="888"/>
      <c r="AM22" s="888"/>
      <c r="AN22" s="888"/>
      <c r="AO22" s="889"/>
      <c r="AP22" s="953"/>
      <c r="AQ22" s="888"/>
      <c r="AR22" s="888"/>
      <c r="AS22" s="888"/>
      <c r="AT22" s="889"/>
      <c r="AU22" s="953"/>
      <c r="AV22" s="888"/>
      <c r="AW22" s="888"/>
      <c r="AX22" s="888"/>
      <c r="AY22" s="889"/>
      <c r="AZ22" s="916"/>
      <c r="BA22" s="917"/>
      <c r="BB22" s="917"/>
      <c r="BC22" s="917"/>
      <c r="BD22" s="917"/>
      <c r="BE22" s="917"/>
      <c r="BF22" s="917"/>
      <c r="BG22" s="917"/>
      <c r="BH22" s="917"/>
      <c r="BI22" s="917"/>
      <c r="BJ22" s="917"/>
      <c r="BK22" s="918"/>
      <c r="BL22" s="332"/>
      <c r="BM22" s="332"/>
      <c r="BN22" s="332"/>
      <c r="BO22" s="435"/>
      <c r="BP22" s="435"/>
      <c r="BQ22" s="435"/>
      <c r="BR22" s="435"/>
      <c r="BS22" s="435"/>
      <c r="BT22" s="435"/>
      <c r="BU22" s="435"/>
    </row>
    <row r="23" spans="2:73" ht="15.95" customHeight="1" thickBot="1">
      <c r="B23" s="901"/>
      <c r="C23" s="954" t="s">
        <v>446</v>
      </c>
      <c r="D23" s="955"/>
      <c r="E23" s="955"/>
      <c r="F23" s="955"/>
      <c r="G23" s="955"/>
      <c r="H23" s="956"/>
      <c r="I23" s="949" t="s">
        <v>578</v>
      </c>
      <c r="J23" s="950"/>
      <c r="K23" s="951"/>
      <c r="L23" s="957" t="s">
        <v>217</v>
      </c>
      <c r="M23" s="957"/>
      <c r="N23" s="957"/>
      <c r="O23" s="957"/>
      <c r="P23" s="957"/>
      <c r="Q23" s="958"/>
      <c r="R23" s="959"/>
      <c r="S23" s="959"/>
      <c r="T23" s="959"/>
      <c r="U23" s="959"/>
      <c r="V23" s="936"/>
      <c r="W23" s="937"/>
      <c r="X23" s="937"/>
      <c r="Y23" s="937"/>
      <c r="Z23" s="938"/>
      <c r="AA23" s="936"/>
      <c r="AB23" s="937"/>
      <c r="AC23" s="937"/>
      <c r="AD23" s="937"/>
      <c r="AE23" s="938"/>
      <c r="AF23" s="936"/>
      <c r="AG23" s="937"/>
      <c r="AH23" s="937"/>
      <c r="AI23" s="937"/>
      <c r="AJ23" s="938"/>
      <c r="AK23" s="936"/>
      <c r="AL23" s="937"/>
      <c r="AM23" s="937"/>
      <c r="AN23" s="937"/>
      <c r="AO23" s="938"/>
      <c r="AP23" s="936"/>
      <c r="AQ23" s="937"/>
      <c r="AR23" s="937"/>
      <c r="AS23" s="937"/>
      <c r="AT23" s="938"/>
      <c r="AU23" s="939"/>
      <c r="AV23" s="937"/>
      <c r="AW23" s="937"/>
      <c r="AX23" s="937"/>
      <c r="AY23" s="938"/>
      <c r="AZ23" s="919"/>
      <c r="BA23" s="920"/>
      <c r="BB23" s="920"/>
      <c r="BC23" s="920"/>
      <c r="BD23" s="920"/>
      <c r="BE23" s="920"/>
      <c r="BF23" s="920"/>
      <c r="BG23" s="920"/>
      <c r="BH23" s="920"/>
      <c r="BI23" s="920"/>
      <c r="BJ23" s="920"/>
      <c r="BK23" s="921"/>
      <c r="BL23" s="332"/>
      <c r="BM23" s="332"/>
      <c r="BN23" s="332"/>
      <c r="BO23" s="435"/>
      <c r="BP23" s="435"/>
      <c r="BQ23" s="435"/>
      <c r="BR23" s="435"/>
      <c r="BS23" s="435"/>
      <c r="BT23" s="435"/>
      <c r="BU23" s="435"/>
    </row>
    <row r="24" spans="2:73" ht="15.95" customHeight="1">
      <c r="B24" s="972" t="s">
        <v>533</v>
      </c>
      <c r="C24" s="946" t="s">
        <v>534</v>
      </c>
      <c r="D24" s="946"/>
      <c r="E24" s="946"/>
      <c r="F24" s="946"/>
      <c r="G24" s="946"/>
      <c r="H24" s="946"/>
      <c r="I24" s="947" t="s">
        <v>120</v>
      </c>
      <c r="J24" s="947"/>
      <c r="K24" s="947"/>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960" t="s">
        <v>548</v>
      </c>
      <c r="BA24" s="961"/>
      <c r="BB24" s="961"/>
      <c r="BC24" s="961"/>
      <c r="BD24" s="961"/>
      <c r="BE24" s="961"/>
      <c r="BF24" s="961"/>
      <c r="BG24" s="961"/>
      <c r="BH24" s="961"/>
      <c r="BI24" s="961"/>
      <c r="BJ24" s="961"/>
      <c r="BK24" s="962"/>
      <c r="BL24" s="332"/>
      <c r="BM24" s="332"/>
      <c r="BN24" s="332"/>
      <c r="BO24" s="435"/>
      <c r="BP24" s="435"/>
      <c r="BQ24" s="435"/>
      <c r="BR24" s="435"/>
      <c r="BS24" s="435"/>
      <c r="BT24" s="435"/>
      <c r="BU24" s="435"/>
    </row>
    <row r="25" spans="2:73" ht="15.95" customHeight="1" thickBot="1">
      <c r="B25" s="973"/>
      <c r="C25" s="933" t="s">
        <v>264</v>
      </c>
      <c r="D25" s="933"/>
      <c r="E25" s="933"/>
      <c r="F25" s="933"/>
      <c r="G25" s="933"/>
      <c r="H25" s="933"/>
      <c r="I25" s="934" t="s">
        <v>124</v>
      </c>
      <c r="J25" s="934"/>
      <c r="K25" s="934"/>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6"/>
      <c r="AK25" s="966"/>
      <c r="AL25" s="966"/>
      <c r="AM25" s="966"/>
      <c r="AN25" s="966"/>
      <c r="AO25" s="966"/>
      <c r="AP25" s="966"/>
      <c r="AQ25" s="966"/>
      <c r="AR25" s="966"/>
      <c r="AS25" s="966"/>
      <c r="AT25" s="966"/>
      <c r="AU25" s="966"/>
      <c r="AV25" s="966"/>
      <c r="AW25" s="966"/>
      <c r="AX25" s="966"/>
      <c r="AY25" s="966"/>
      <c r="AZ25" s="963"/>
      <c r="BA25" s="964"/>
      <c r="BB25" s="964"/>
      <c r="BC25" s="964"/>
      <c r="BD25" s="964"/>
      <c r="BE25" s="964"/>
      <c r="BF25" s="964"/>
      <c r="BG25" s="964"/>
      <c r="BH25" s="964"/>
      <c r="BI25" s="964"/>
      <c r="BJ25" s="964"/>
      <c r="BK25" s="965"/>
      <c r="BL25" s="332"/>
      <c r="BM25" s="332"/>
      <c r="BN25" s="332"/>
      <c r="BO25" s="435"/>
      <c r="BP25" s="435"/>
      <c r="BQ25" s="435"/>
      <c r="BR25" s="435"/>
      <c r="BS25" s="435"/>
      <c r="BT25" s="435"/>
      <c r="BU25" s="435"/>
    </row>
    <row r="26" spans="2:73" ht="15.95" customHeight="1">
      <c r="BM26" s="435"/>
      <c r="BN26" s="435"/>
      <c r="BO26" s="435"/>
      <c r="BP26" s="435"/>
      <c r="BQ26" s="435"/>
      <c r="BR26" s="435"/>
      <c r="BS26" s="435"/>
      <c r="BT26" s="435"/>
      <c r="BU26" s="435"/>
    </row>
    <row r="27" spans="2:73" ht="15.95" customHeight="1" thickBot="1">
      <c r="B27" s="893" t="s">
        <v>338</v>
      </c>
      <c r="C27" s="893"/>
      <c r="D27" s="893"/>
      <c r="E27" s="893"/>
      <c r="F27" s="893"/>
      <c r="G27" s="893"/>
      <c r="H27" s="893"/>
      <c r="I27" s="893"/>
      <c r="J27" s="893"/>
      <c r="K27" s="893"/>
      <c r="L27" s="893"/>
      <c r="M27" s="893"/>
      <c r="N27" s="893"/>
      <c r="O27" s="893"/>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c r="AS27" s="893"/>
      <c r="AT27" s="893"/>
      <c r="AU27" s="893"/>
      <c r="AV27" s="893"/>
      <c r="AW27" s="893"/>
      <c r="AX27" s="893"/>
      <c r="AY27" s="893"/>
      <c r="AZ27" s="893"/>
      <c r="BA27" s="893"/>
      <c r="BB27" s="893"/>
      <c r="BC27" s="893"/>
      <c r="BD27" s="893"/>
      <c r="BE27" s="893"/>
      <c r="BF27" s="893"/>
      <c r="BG27" s="893"/>
      <c r="BH27" s="893"/>
      <c r="BI27" s="893"/>
      <c r="BJ27" s="893"/>
      <c r="BK27" s="893"/>
      <c r="BM27" s="435"/>
      <c r="BN27" s="435"/>
      <c r="BO27" s="435"/>
      <c r="BP27" s="435"/>
      <c r="BQ27" s="435"/>
      <c r="BR27" s="435"/>
      <c r="BS27" s="435"/>
      <c r="BT27" s="435"/>
      <c r="BU27" s="435"/>
    </row>
    <row r="28" spans="2:73" ht="15.95" customHeight="1" thickBot="1">
      <c r="B28" s="894" t="s">
        <v>23</v>
      </c>
      <c r="C28" s="895"/>
      <c r="D28" s="895"/>
      <c r="E28" s="895"/>
      <c r="F28" s="895"/>
      <c r="G28" s="895"/>
      <c r="H28" s="896"/>
      <c r="I28" s="967" t="s">
        <v>24</v>
      </c>
      <c r="J28" s="967"/>
      <c r="K28" s="967"/>
      <c r="L28" s="967" t="s">
        <v>321</v>
      </c>
      <c r="M28" s="967"/>
      <c r="N28" s="967"/>
      <c r="O28" s="967"/>
      <c r="P28" s="967"/>
      <c r="Q28" s="967" t="s">
        <v>322</v>
      </c>
      <c r="R28" s="967"/>
      <c r="S28" s="967"/>
      <c r="T28" s="967"/>
      <c r="U28" s="967"/>
      <c r="V28" s="967" t="s">
        <v>323</v>
      </c>
      <c r="W28" s="967"/>
      <c r="X28" s="967"/>
      <c r="Y28" s="967"/>
      <c r="Z28" s="967"/>
      <c r="AA28" s="967" t="s">
        <v>324</v>
      </c>
      <c r="AB28" s="967"/>
      <c r="AC28" s="967"/>
      <c r="AD28" s="967"/>
      <c r="AE28" s="967"/>
      <c r="AF28" s="967" t="s">
        <v>325</v>
      </c>
      <c r="AG28" s="967"/>
      <c r="AH28" s="967"/>
      <c r="AI28" s="967"/>
      <c r="AJ28" s="967"/>
      <c r="AK28" s="967" t="s">
        <v>326</v>
      </c>
      <c r="AL28" s="967"/>
      <c r="AM28" s="967"/>
      <c r="AN28" s="967"/>
      <c r="AO28" s="967"/>
      <c r="AP28" s="968" t="s">
        <v>327</v>
      </c>
      <c r="AQ28" s="969"/>
      <c r="AR28" s="969"/>
      <c r="AS28" s="969"/>
      <c r="AT28" s="970"/>
      <c r="AU28" s="968" t="s">
        <v>337</v>
      </c>
      <c r="AV28" s="969"/>
      <c r="AW28" s="969"/>
      <c r="AX28" s="969"/>
      <c r="AY28" s="970"/>
      <c r="AZ28" s="968" t="s">
        <v>25</v>
      </c>
      <c r="BA28" s="969"/>
      <c r="BB28" s="969"/>
      <c r="BC28" s="969"/>
      <c r="BD28" s="969"/>
      <c r="BE28" s="969"/>
      <c r="BF28" s="969"/>
      <c r="BG28" s="969"/>
      <c r="BH28" s="969"/>
      <c r="BI28" s="969"/>
      <c r="BJ28" s="969"/>
      <c r="BK28" s="971"/>
      <c r="BM28" s="435"/>
      <c r="BN28" s="435"/>
      <c r="BO28" s="435"/>
      <c r="BP28" s="435"/>
      <c r="BQ28" s="435"/>
      <c r="BR28" s="435"/>
      <c r="BS28" s="435"/>
      <c r="BT28" s="435"/>
      <c r="BU28" s="435"/>
    </row>
    <row r="29" spans="2:73" ht="15.95" customHeight="1">
      <c r="B29" s="982" t="s">
        <v>444</v>
      </c>
      <c r="C29" s="903" t="s">
        <v>275</v>
      </c>
      <c r="D29" s="903"/>
      <c r="E29" s="903"/>
      <c r="F29" s="903"/>
      <c r="G29" s="903"/>
      <c r="H29" s="903"/>
      <c r="I29" s="983" t="s">
        <v>217</v>
      </c>
      <c r="J29" s="983"/>
      <c r="K29" s="983"/>
      <c r="L29" s="974"/>
      <c r="M29" s="974"/>
      <c r="N29" s="974"/>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974"/>
      <c r="AP29" s="974"/>
      <c r="AQ29" s="974"/>
      <c r="AR29" s="974"/>
      <c r="AS29" s="974"/>
      <c r="AT29" s="974"/>
      <c r="AU29" s="974"/>
      <c r="AV29" s="974"/>
      <c r="AW29" s="974"/>
      <c r="AX29" s="974"/>
      <c r="AY29" s="974"/>
      <c r="AZ29" s="913" t="s">
        <v>472</v>
      </c>
      <c r="BA29" s="914"/>
      <c r="BB29" s="914"/>
      <c r="BC29" s="914"/>
      <c r="BD29" s="914"/>
      <c r="BE29" s="914"/>
      <c r="BF29" s="914"/>
      <c r="BG29" s="914"/>
      <c r="BH29" s="914"/>
      <c r="BI29" s="914"/>
      <c r="BJ29" s="914"/>
      <c r="BK29" s="915"/>
      <c r="BM29" s="435"/>
      <c r="BN29" s="435"/>
      <c r="BO29" s="435"/>
      <c r="BP29" s="435"/>
      <c r="BQ29" s="435"/>
      <c r="BR29" s="435"/>
      <c r="BS29" s="435"/>
      <c r="BT29" s="435"/>
      <c r="BU29" s="435"/>
    </row>
    <row r="30" spans="2:73" ht="15.95" customHeight="1">
      <c r="B30" s="982"/>
      <c r="C30" s="909" t="s">
        <v>158</v>
      </c>
      <c r="D30" s="909"/>
      <c r="E30" s="909"/>
      <c r="F30" s="909"/>
      <c r="G30" s="909"/>
      <c r="H30" s="909"/>
      <c r="I30" s="909" t="s">
        <v>148</v>
      </c>
      <c r="J30" s="909"/>
      <c r="K30" s="909"/>
      <c r="L30" s="922" t="s">
        <v>40</v>
      </c>
      <c r="M30" s="922"/>
      <c r="N30" s="922"/>
      <c r="O30" s="922"/>
      <c r="P30" s="922"/>
      <c r="Q30" s="922" t="s">
        <v>159</v>
      </c>
      <c r="R30" s="922"/>
      <c r="S30" s="922"/>
      <c r="T30" s="922"/>
      <c r="U30" s="922"/>
      <c r="V30" s="909" t="s">
        <v>216</v>
      </c>
      <c r="W30" s="909"/>
      <c r="X30" s="909"/>
      <c r="Y30" s="909"/>
      <c r="Z30" s="909"/>
      <c r="AA30" s="922" t="s">
        <v>19</v>
      </c>
      <c r="AB30" s="922"/>
      <c r="AC30" s="922"/>
      <c r="AD30" s="922"/>
      <c r="AE30" s="922"/>
      <c r="AF30" s="931"/>
      <c r="AG30" s="931"/>
      <c r="AH30" s="931"/>
      <c r="AI30" s="931"/>
      <c r="AJ30" s="931"/>
      <c r="AK30" s="931"/>
      <c r="AL30" s="931"/>
      <c r="AM30" s="931"/>
      <c r="AN30" s="931"/>
      <c r="AO30" s="931"/>
      <c r="AP30" s="931"/>
      <c r="AQ30" s="931"/>
      <c r="AR30" s="931"/>
      <c r="AS30" s="931"/>
      <c r="AT30" s="931"/>
      <c r="AU30" s="931"/>
      <c r="AV30" s="931"/>
      <c r="AW30" s="931"/>
      <c r="AX30" s="931"/>
      <c r="AY30" s="931"/>
      <c r="AZ30" s="916"/>
      <c r="BA30" s="917"/>
      <c r="BB30" s="917"/>
      <c r="BC30" s="917"/>
      <c r="BD30" s="917"/>
      <c r="BE30" s="917"/>
      <c r="BF30" s="917"/>
      <c r="BG30" s="917"/>
      <c r="BH30" s="917"/>
      <c r="BI30" s="917"/>
      <c r="BJ30" s="917"/>
      <c r="BK30" s="918"/>
      <c r="BM30" s="435"/>
      <c r="BN30" s="435"/>
      <c r="BO30" s="435"/>
      <c r="BP30" s="435"/>
      <c r="BQ30" s="435"/>
      <c r="BR30" s="435"/>
      <c r="BS30" s="435"/>
      <c r="BT30" s="435"/>
      <c r="BU30" s="435"/>
    </row>
    <row r="31" spans="2:73" ht="15.95" customHeight="1">
      <c r="B31" s="982"/>
      <c r="C31" s="908" t="s">
        <v>332</v>
      </c>
      <c r="D31" s="908"/>
      <c r="E31" s="908"/>
      <c r="F31" s="908"/>
      <c r="G31" s="908"/>
      <c r="H31" s="908"/>
      <c r="I31" s="909" t="s">
        <v>468</v>
      </c>
      <c r="J31" s="909"/>
      <c r="K31" s="909"/>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7"/>
      <c r="AN31" s="907"/>
      <c r="AO31" s="907"/>
      <c r="AP31" s="907"/>
      <c r="AQ31" s="907"/>
      <c r="AR31" s="907"/>
      <c r="AS31" s="907"/>
      <c r="AT31" s="907"/>
      <c r="AU31" s="907"/>
      <c r="AV31" s="907"/>
      <c r="AW31" s="907"/>
      <c r="AX31" s="907"/>
      <c r="AY31" s="907"/>
      <c r="AZ31" s="916"/>
      <c r="BA31" s="917"/>
      <c r="BB31" s="917"/>
      <c r="BC31" s="917"/>
      <c r="BD31" s="917"/>
      <c r="BE31" s="917"/>
      <c r="BF31" s="917"/>
      <c r="BG31" s="917"/>
      <c r="BH31" s="917"/>
      <c r="BI31" s="917"/>
      <c r="BJ31" s="917"/>
      <c r="BK31" s="918"/>
      <c r="BM31" s="435"/>
      <c r="BN31" s="435"/>
      <c r="BO31" s="435"/>
      <c r="BP31" s="435"/>
      <c r="BQ31" s="435"/>
      <c r="BR31" s="435"/>
      <c r="BS31" s="435"/>
      <c r="BT31" s="435"/>
      <c r="BU31" s="435"/>
    </row>
    <row r="32" spans="2:73" ht="15.95" customHeight="1">
      <c r="B32" s="982"/>
      <c r="C32" s="927" t="s">
        <v>475</v>
      </c>
      <c r="D32" s="928"/>
      <c r="E32" s="928"/>
      <c r="F32" s="928"/>
      <c r="G32" s="928"/>
      <c r="H32" s="929"/>
      <c r="I32" s="909" t="s">
        <v>148</v>
      </c>
      <c r="J32" s="909"/>
      <c r="K32" s="909"/>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7"/>
      <c r="AN32" s="907"/>
      <c r="AO32" s="907"/>
      <c r="AP32" s="907"/>
      <c r="AQ32" s="907"/>
      <c r="AR32" s="907"/>
      <c r="AS32" s="907"/>
      <c r="AT32" s="907"/>
      <c r="AU32" s="907"/>
      <c r="AV32" s="907"/>
      <c r="AW32" s="907"/>
      <c r="AX32" s="907"/>
      <c r="AY32" s="907"/>
      <c r="AZ32" s="916"/>
      <c r="BA32" s="917"/>
      <c r="BB32" s="917"/>
      <c r="BC32" s="917"/>
      <c r="BD32" s="917"/>
      <c r="BE32" s="917"/>
      <c r="BF32" s="917"/>
      <c r="BG32" s="917"/>
      <c r="BH32" s="917"/>
      <c r="BI32" s="917"/>
      <c r="BJ32" s="917"/>
      <c r="BK32" s="918"/>
    </row>
    <row r="33" spans="2:63" ht="15.95" customHeight="1">
      <c r="B33" s="982"/>
      <c r="C33" s="932" t="s">
        <v>71</v>
      </c>
      <c r="D33" s="932"/>
      <c r="E33" s="932"/>
      <c r="F33" s="932"/>
      <c r="G33" s="932"/>
      <c r="H33" s="932"/>
      <c r="I33" s="909" t="s">
        <v>21</v>
      </c>
      <c r="J33" s="909"/>
      <c r="K33" s="909"/>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907"/>
      <c r="AZ33" s="916"/>
      <c r="BA33" s="917"/>
      <c r="BB33" s="917"/>
      <c r="BC33" s="917"/>
      <c r="BD33" s="917"/>
      <c r="BE33" s="917"/>
      <c r="BF33" s="917"/>
      <c r="BG33" s="917"/>
      <c r="BH33" s="917"/>
      <c r="BI33" s="917"/>
      <c r="BJ33" s="917"/>
      <c r="BK33" s="918"/>
    </row>
    <row r="34" spans="2:63" ht="15.95" customHeight="1">
      <c r="B34" s="982"/>
      <c r="C34" s="908" t="s">
        <v>160</v>
      </c>
      <c r="D34" s="908"/>
      <c r="E34" s="908"/>
      <c r="F34" s="908"/>
      <c r="G34" s="908"/>
      <c r="H34" s="908"/>
      <c r="I34" s="909" t="s">
        <v>20</v>
      </c>
      <c r="J34" s="909"/>
      <c r="K34" s="909"/>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7"/>
      <c r="AN34" s="907"/>
      <c r="AO34" s="907"/>
      <c r="AP34" s="907"/>
      <c r="AQ34" s="907"/>
      <c r="AR34" s="907"/>
      <c r="AS34" s="907"/>
      <c r="AT34" s="907"/>
      <c r="AU34" s="907"/>
      <c r="AV34" s="907"/>
      <c r="AW34" s="907"/>
      <c r="AX34" s="907"/>
      <c r="AY34" s="907"/>
      <c r="AZ34" s="916"/>
      <c r="BA34" s="917"/>
      <c r="BB34" s="917"/>
      <c r="BC34" s="917"/>
      <c r="BD34" s="917"/>
      <c r="BE34" s="917"/>
      <c r="BF34" s="917"/>
      <c r="BG34" s="917"/>
      <c r="BH34" s="917"/>
      <c r="BI34" s="917"/>
      <c r="BJ34" s="917"/>
      <c r="BK34" s="918"/>
    </row>
    <row r="35" spans="2:63" ht="15.95" customHeight="1">
      <c r="B35" s="982"/>
      <c r="C35" s="908" t="s">
        <v>161</v>
      </c>
      <c r="D35" s="908"/>
      <c r="E35" s="908"/>
      <c r="F35" s="908"/>
      <c r="G35" s="908"/>
      <c r="H35" s="908"/>
      <c r="I35" s="909" t="s">
        <v>27</v>
      </c>
      <c r="J35" s="909"/>
      <c r="K35" s="909"/>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7"/>
      <c r="AY35" s="907"/>
      <c r="AZ35" s="916"/>
      <c r="BA35" s="917"/>
      <c r="BB35" s="917"/>
      <c r="BC35" s="917"/>
      <c r="BD35" s="917"/>
      <c r="BE35" s="917"/>
      <c r="BF35" s="917"/>
      <c r="BG35" s="917"/>
      <c r="BH35" s="917"/>
      <c r="BI35" s="917"/>
      <c r="BJ35" s="917"/>
      <c r="BK35" s="918"/>
    </row>
    <row r="36" spans="2:63" ht="15.95" customHeight="1">
      <c r="B36" s="982"/>
      <c r="C36" s="932" t="s">
        <v>73</v>
      </c>
      <c r="D36" s="932"/>
      <c r="E36" s="932"/>
      <c r="F36" s="932"/>
      <c r="G36" s="932"/>
      <c r="H36" s="932"/>
      <c r="I36" s="909" t="s">
        <v>494</v>
      </c>
      <c r="J36" s="909"/>
      <c r="K36" s="909"/>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7"/>
      <c r="AY36" s="907"/>
      <c r="AZ36" s="916"/>
      <c r="BA36" s="917"/>
      <c r="BB36" s="917"/>
      <c r="BC36" s="917"/>
      <c r="BD36" s="917"/>
      <c r="BE36" s="917"/>
      <c r="BF36" s="917"/>
      <c r="BG36" s="917"/>
      <c r="BH36" s="917"/>
      <c r="BI36" s="917"/>
      <c r="BJ36" s="917"/>
      <c r="BK36" s="918"/>
    </row>
    <row r="37" spans="2:63" ht="15.95" customHeight="1" thickBot="1">
      <c r="B37" s="982"/>
      <c r="C37" s="933" t="s">
        <v>74</v>
      </c>
      <c r="D37" s="933"/>
      <c r="E37" s="933"/>
      <c r="F37" s="933"/>
      <c r="G37" s="933"/>
      <c r="H37" s="933"/>
      <c r="I37" s="934" t="s">
        <v>466</v>
      </c>
      <c r="J37" s="934"/>
      <c r="K37" s="934"/>
      <c r="L37" s="935"/>
      <c r="M37" s="935"/>
      <c r="N37" s="935"/>
      <c r="O37" s="935"/>
      <c r="P37" s="935"/>
      <c r="Q37" s="935"/>
      <c r="R37" s="935"/>
      <c r="S37" s="935"/>
      <c r="T37" s="935"/>
      <c r="U37" s="935"/>
      <c r="V37" s="935"/>
      <c r="W37" s="935"/>
      <c r="X37" s="935"/>
      <c r="Y37" s="935"/>
      <c r="Z37" s="935"/>
      <c r="AA37" s="935"/>
      <c r="AB37" s="935"/>
      <c r="AC37" s="935"/>
      <c r="AD37" s="935"/>
      <c r="AE37" s="935"/>
      <c r="AF37" s="975"/>
      <c r="AG37" s="975"/>
      <c r="AH37" s="975"/>
      <c r="AI37" s="975"/>
      <c r="AJ37" s="975"/>
      <c r="AK37" s="975"/>
      <c r="AL37" s="975"/>
      <c r="AM37" s="975"/>
      <c r="AN37" s="975"/>
      <c r="AO37" s="975"/>
      <c r="AP37" s="975"/>
      <c r="AQ37" s="975"/>
      <c r="AR37" s="975"/>
      <c r="AS37" s="975"/>
      <c r="AT37" s="975"/>
      <c r="AU37" s="975"/>
      <c r="AV37" s="975"/>
      <c r="AW37" s="975"/>
      <c r="AX37" s="975"/>
      <c r="AY37" s="975"/>
      <c r="AZ37" s="919"/>
      <c r="BA37" s="920"/>
      <c r="BB37" s="920"/>
      <c r="BC37" s="920"/>
      <c r="BD37" s="920"/>
      <c r="BE37" s="920"/>
      <c r="BF37" s="920"/>
      <c r="BG37" s="920"/>
      <c r="BH37" s="920"/>
      <c r="BI37" s="920"/>
      <c r="BJ37" s="920"/>
      <c r="BK37" s="921"/>
    </row>
    <row r="38" spans="2:63" ht="15.95" customHeight="1">
      <c r="B38" s="982"/>
      <c r="C38" s="927" t="s">
        <v>219</v>
      </c>
      <c r="D38" s="928"/>
      <c r="E38" s="928"/>
      <c r="F38" s="928"/>
      <c r="G38" s="928"/>
      <c r="H38" s="929"/>
      <c r="I38" s="976" t="s">
        <v>467</v>
      </c>
      <c r="J38" s="977"/>
      <c r="K38" s="978"/>
      <c r="L38" s="979">
        <f>ROUND(L31*365,2)</f>
        <v>0</v>
      </c>
      <c r="M38" s="980"/>
      <c r="N38" s="980"/>
      <c r="O38" s="980"/>
      <c r="P38" s="981"/>
      <c r="Q38" s="979">
        <f>ROUND(Q31*365,2)</f>
        <v>0</v>
      </c>
      <c r="R38" s="980"/>
      <c r="S38" s="980"/>
      <c r="T38" s="980"/>
      <c r="U38" s="981"/>
      <c r="V38" s="979">
        <f>ROUND(V31*365,2)</f>
        <v>0</v>
      </c>
      <c r="W38" s="980"/>
      <c r="X38" s="980"/>
      <c r="Y38" s="980"/>
      <c r="Z38" s="981"/>
      <c r="AA38" s="979">
        <f>ROUND(AA31*365,2)</f>
        <v>0</v>
      </c>
      <c r="AB38" s="980"/>
      <c r="AC38" s="980"/>
      <c r="AD38" s="980"/>
      <c r="AE38" s="981"/>
      <c r="AF38" s="979">
        <f>ROUND(AF31*365,2)</f>
        <v>0</v>
      </c>
      <c r="AG38" s="980"/>
      <c r="AH38" s="980"/>
      <c r="AI38" s="980"/>
      <c r="AJ38" s="981"/>
      <c r="AK38" s="979">
        <f>ROUND(AK31*365,2)</f>
        <v>0</v>
      </c>
      <c r="AL38" s="980"/>
      <c r="AM38" s="980"/>
      <c r="AN38" s="980"/>
      <c r="AO38" s="981"/>
      <c r="AP38" s="979">
        <f>ROUND(AP31*365,2)</f>
        <v>0</v>
      </c>
      <c r="AQ38" s="980"/>
      <c r="AR38" s="980"/>
      <c r="AS38" s="980"/>
      <c r="AT38" s="981"/>
      <c r="AU38" s="979">
        <f t="shared" ref="AU38" si="1">ROUND(AU31*365,2)</f>
        <v>0</v>
      </c>
      <c r="AV38" s="980"/>
      <c r="AW38" s="980"/>
      <c r="AX38" s="980"/>
      <c r="AY38" s="981"/>
      <c r="AZ38" s="916" t="s">
        <v>474</v>
      </c>
      <c r="BA38" s="917"/>
      <c r="BB38" s="917"/>
      <c r="BC38" s="917"/>
      <c r="BD38" s="917"/>
      <c r="BE38" s="917"/>
      <c r="BF38" s="917"/>
      <c r="BG38" s="917"/>
      <c r="BH38" s="917"/>
      <c r="BI38" s="917"/>
      <c r="BJ38" s="917"/>
      <c r="BK38" s="918"/>
    </row>
    <row r="39" spans="2:63" ht="15.95" customHeight="1">
      <c r="B39" s="982"/>
      <c r="C39" s="927" t="s">
        <v>208</v>
      </c>
      <c r="D39" s="928"/>
      <c r="E39" s="928"/>
      <c r="F39" s="928"/>
      <c r="G39" s="928"/>
      <c r="H39" s="929"/>
      <c r="I39" s="949" t="s">
        <v>578</v>
      </c>
      <c r="J39" s="950"/>
      <c r="K39" s="951"/>
      <c r="L39" s="953"/>
      <c r="M39" s="888"/>
      <c r="N39" s="888"/>
      <c r="O39" s="888"/>
      <c r="P39" s="888"/>
      <c r="Q39" s="888"/>
      <c r="R39" s="888"/>
      <c r="S39" s="888"/>
      <c r="T39" s="888"/>
      <c r="U39" s="889"/>
      <c r="V39" s="953"/>
      <c r="W39" s="888"/>
      <c r="X39" s="888"/>
      <c r="Y39" s="888"/>
      <c r="Z39" s="889"/>
      <c r="AA39" s="887"/>
      <c r="AB39" s="888"/>
      <c r="AC39" s="888"/>
      <c r="AD39" s="888"/>
      <c r="AE39" s="889"/>
      <c r="AF39" s="887"/>
      <c r="AG39" s="888"/>
      <c r="AH39" s="888"/>
      <c r="AI39" s="888"/>
      <c r="AJ39" s="889"/>
      <c r="AK39" s="887"/>
      <c r="AL39" s="888"/>
      <c r="AM39" s="888"/>
      <c r="AN39" s="888"/>
      <c r="AO39" s="889"/>
      <c r="AP39" s="887"/>
      <c r="AQ39" s="888"/>
      <c r="AR39" s="888"/>
      <c r="AS39" s="888"/>
      <c r="AT39" s="889"/>
      <c r="AU39" s="887"/>
      <c r="AV39" s="888"/>
      <c r="AW39" s="888"/>
      <c r="AX39" s="888"/>
      <c r="AY39" s="889"/>
      <c r="AZ39" s="916"/>
      <c r="BA39" s="917"/>
      <c r="BB39" s="917"/>
      <c r="BC39" s="917"/>
      <c r="BD39" s="917"/>
      <c r="BE39" s="917"/>
      <c r="BF39" s="917"/>
      <c r="BG39" s="917"/>
      <c r="BH39" s="917"/>
      <c r="BI39" s="917"/>
      <c r="BJ39" s="917"/>
      <c r="BK39" s="918"/>
    </row>
    <row r="40" spans="2:63" ht="15.95" customHeight="1" thickBot="1">
      <c r="B40" s="973"/>
      <c r="C40" s="954" t="s">
        <v>446</v>
      </c>
      <c r="D40" s="955"/>
      <c r="E40" s="955"/>
      <c r="F40" s="955"/>
      <c r="G40" s="955"/>
      <c r="H40" s="956"/>
      <c r="I40" s="949" t="s">
        <v>578</v>
      </c>
      <c r="J40" s="950"/>
      <c r="K40" s="951"/>
      <c r="L40" s="936"/>
      <c r="M40" s="937"/>
      <c r="N40" s="937"/>
      <c r="O40" s="937"/>
      <c r="P40" s="937"/>
      <c r="Q40" s="937"/>
      <c r="R40" s="937"/>
      <c r="S40" s="937"/>
      <c r="T40" s="937"/>
      <c r="U40" s="938"/>
      <c r="V40" s="936"/>
      <c r="W40" s="937"/>
      <c r="X40" s="937"/>
      <c r="Y40" s="937"/>
      <c r="Z40" s="938"/>
      <c r="AA40" s="939"/>
      <c r="AB40" s="937"/>
      <c r="AC40" s="937"/>
      <c r="AD40" s="937"/>
      <c r="AE40" s="938"/>
      <c r="AF40" s="939"/>
      <c r="AG40" s="937"/>
      <c r="AH40" s="937"/>
      <c r="AI40" s="937"/>
      <c r="AJ40" s="938"/>
      <c r="AK40" s="939"/>
      <c r="AL40" s="937"/>
      <c r="AM40" s="937"/>
      <c r="AN40" s="937"/>
      <c r="AO40" s="938"/>
      <c r="AP40" s="939"/>
      <c r="AQ40" s="937"/>
      <c r="AR40" s="937"/>
      <c r="AS40" s="937"/>
      <c r="AT40" s="938"/>
      <c r="AU40" s="939"/>
      <c r="AV40" s="937"/>
      <c r="AW40" s="937"/>
      <c r="AX40" s="937"/>
      <c r="AY40" s="938"/>
      <c r="AZ40" s="919"/>
      <c r="BA40" s="920"/>
      <c r="BB40" s="920"/>
      <c r="BC40" s="920"/>
      <c r="BD40" s="920"/>
      <c r="BE40" s="920"/>
      <c r="BF40" s="920"/>
      <c r="BG40" s="920"/>
      <c r="BH40" s="920"/>
      <c r="BI40" s="920"/>
      <c r="BJ40" s="920"/>
      <c r="BK40" s="921"/>
    </row>
    <row r="41" spans="2:63" ht="15.95" customHeight="1">
      <c r="B41" s="972" t="s">
        <v>533</v>
      </c>
      <c r="C41" s="947" t="s">
        <v>534</v>
      </c>
      <c r="D41" s="947"/>
      <c r="E41" s="947"/>
      <c r="F41" s="947"/>
      <c r="G41" s="947"/>
      <c r="H41" s="947"/>
      <c r="I41" s="947" t="s">
        <v>124</v>
      </c>
      <c r="J41" s="947"/>
      <c r="K41" s="947"/>
      <c r="L41" s="948"/>
      <c r="M41" s="948"/>
      <c r="N41" s="948"/>
      <c r="O41" s="948"/>
      <c r="P41" s="948"/>
      <c r="Q41" s="948"/>
      <c r="R41" s="948"/>
      <c r="S41" s="948"/>
      <c r="T41" s="948"/>
      <c r="U41" s="948"/>
      <c r="V41" s="994"/>
      <c r="W41" s="994"/>
      <c r="X41" s="994"/>
      <c r="Y41" s="994"/>
      <c r="Z41" s="994"/>
      <c r="AA41" s="976"/>
      <c r="AB41" s="977"/>
      <c r="AC41" s="977"/>
      <c r="AD41" s="977"/>
      <c r="AE41" s="978"/>
      <c r="AF41" s="976"/>
      <c r="AG41" s="977"/>
      <c r="AH41" s="977"/>
      <c r="AI41" s="977"/>
      <c r="AJ41" s="978"/>
      <c r="AK41" s="976"/>
      <c r="AL41" s="977"/>
      <c r="AM41" s="977"/>
      <c r="AN41" s="977"/>
      <c r="AO41" s="978"/>
      <c r="AP41" s="976"/>
      <c r="AQ41" s="977"/>
      <c r="AR41" s="977"/>
      <c r="AS41" s="977"/>
      <c r="AT41" s="978"/>
      <c r="AU41" s="976"/>
      <c r="AV41" s="977"/>
      <c r="AW41" s="977"/>
      <c r="AX41" s="977"/>
      <c r="AY41" s="978"/>
      <c r="AZ41" s="984" t="s">
        <v>535</v>
      </c>
      <c r="BA41" s="985"/>
      <c r="BB41" s="985"/>
      <c r="BC41" s="985"/>
      <c r="BD41" s="985"/>
      <c r="BE41" s="985"/>
      <c r="BF41" s="985"/>
      <c r="BG41" s="985"/>
      <c r="BH41" s="985"/>
      <c r="BI41" s="985"/>
      <c r="BJ41" s="985"/>
      <c r="BK41" s="986"/>
    </row>
    <row r="42" spans="2:63" ht="15.95" customHeight="1" thickBot="1">
      <c r="B42" s="973"/>
      <c r="C42" s="934" t="s">
        <v>264</v>
      </c>
      <c r="D42" s="934"/>
      <c r="E42" s="934"/>
      <c r="F42" s="934"/>
      <c r="G42" s="934"/>
      <c r="H42" s="934"/>
      <c r="I42" s="934" t="s">
        <v>124</v>
      </c>
      <c r="J42" s="934"/>
      <c r="K42" s="934"/>
      <c r="L42" s="966"/>
      <c r="M42" s="966"/>
      <c r="N42" s="966"/>
      <c r="O42" s="966"/>
      <c r="P42" s="966"/>
      <c r="Q42" s="966"/>
      <c r="R42" s="966"/>
      <c r="S42" s="966"/>
      <c r="T42" s="966"/>
      <c r="U42" s="966"/>
      <c r="V42" s="990"/>
      <c r="W42" s="990"/>
      <c r="X42" s="990"/>
      <c r="Y42" s="990"/>
      <c r="Z42" s="990"/>
      <c r="AA42" s="991"/>
      <c r="AB42" s="992"/>
      <c r="AC42" s="992"/>
      <c r="AD42" s="992"/>
      <c r="AE42" s="993"/>
      <c r="AF42" s="991"/>
      <c r="AG42" s="992"/>
      <c r="AH42" s="992"/>
      <c r="AI42" s="992"/>
      <c r="AJ42" s="993"/>
      <c r="AK42" s="991"/>
      <c r="AL42" s="992"/>
      <c r="AM42" s="992"/>
      <c r="AN42" s="992"/>
      <c r="AO42" s="993"/>
      <c r="AP42" s="991"/>
      <c r="AQ42" s="992"/>
      <c r="AR42" s="992"/>
      <c r="AS42" s="992"/>
      <c r="AT42" s="993"/>
      <c r="AU42" s="991"/>
      <c r="AV42" s="992"/>
      <c r="AW42" s="992"/>
      <c r="AX42" s="992"/>
      <c r="AY42" s="993"/>
      <c r="AZ42" s="987"/>
      <c r="BA42" s="988"/>
      <c r="BB42" s="988"/>
      <c r="BC42" s="988"/>
      <c r="BD42" s="988"/>
      <c r="BE42" s="988"/>
      <c r="BF42" s="988"/>
      <c r="BG42" s="988"/>
      <c r="BH42" s="988"/>
      <c r="BI42" s="988"/>
      <c r="BJ42" s="988"/>
      <c r="BK42" s="989"/>
    </row>
    <row r="43" spans="2:63" ht="15.95" customHeight="1" thickBot="1">
      <c r="C43" s="265"/>
      <c r="D43" s="265"/>
      <c r="E43" s="265"/>
      <c r="F43" s="265"/>
      <c r="G43" s="265"/>
      <c r="H43" s="265"/>
      <c r="I43" s="268"/>
      <c r="J43" s="268"/>
      <c r="K43" s="268"/>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row>
    <row r="44" spans="2:63" ht="15.95" customHeight="1" thickBot="1">
      <c r="C44" s="995" t="s">
        <v>199</v>
      </c>
      <c r="D44" s="996"/>
      <c r="E44" s="1006">
        <f>'物質収支（既存）'!X15</f>
        <v>0</v>
      </c>
      <c r="F44" s="1007"/>
      <c r="G44" s="1007"/>
      <c r="H44" s="1007"/>
      <c r="I44" s="1007"/>
      <c r="J44" s="1007"/>
      <c r="K44" s="1007"/>
      <c r="L44" s="1008"/>
      <c r="M44" s="1000" t="str">
        <f>IF(E45="適応条件を満たさない、対応が必要。","⇒","")</f>
        <v/>
      </c>
      <c r="N44" s="995"/>
      <c r="O44" s="1009" t="str">
        <f>+IF(E45="適応条件を満たさない、対応が必要。","投入バイオマス濃度の調整等の対応が必要。","")</f>
        <v/>
      </c>
      <c r="P44" s="1009"/>
      <c r="Q44" s="1009"/>
      <c r="R44" s="1009"/>
      <c r="S44" s="1009"/>
      <c r="T44" s="1009"/>
      <c r="U44" s="1009"/>
      <c r="V44" s="1009"/>
      <c r="W44" s="1009"/>
      <c r="X44" s="1009"/>
      <c r="Y44" s="1009"/>
      <c r="Z44" s="1009"/>
      <c r="AA44" s="1009"/>
      <c r="AB44" s="1009"/>
    </row>
    <row r="45" spans="2:63" ht="15.95" customHeight="1" thickBot="1">
      <c r="C45" s="995"/>
      <c r="D45" s="996"/>
      <c r="E45" s="1002" t="str">
        <f>IF(E44&lt;10,"適用条件を満たす。","適応条件を満たさない、対応が必要。")</f>
        <v>適用条件を満たす。</v>
      </c>
      <c r="F45" s="1003"/>
      <c r="G45" s="1003"/>
      <c r="H45" s="1003"/>
      <c r="I45" s="1003"/>
      <c r="J45" s="1003"/>
      <c r="K45" s="1003"/>
      <c r="L45" s="1004"/>
      <c r="M45" s="1000"/>
      <c r="N45" s="995"/>
      <c r="O45" s="1009"/>
      <c r="P45" s="1009"/>
      <c r="Q45" s="1009"/>
      <c r="R45" s="1009"/>
      <c r="S45" s="1009"/>
      <c r="T45" s="1009"/>
      <c r="U45" s="1009"/>
      <c r="V45" s="1009"/>
      <c r="W45" s="1009"/>
      <c r="X45" s="1009"/>
      <c r="Y45" s="1009"/>
      <c r="Z45" s="1009"/>
      <c r="AA45" s="1009"/>
      <c r="AB45" s="1009"/>
    </row>
    <row r="46" spans="2:63" ht="15.95" customHeight="1" thickBot="1">
      <c r="B46" s="271"/>
    </row>
    <row r="47" spans="2:63" ht="15.95" customHeight="1" thickBot="1">
      <c r="C47" s="995" t="s">
        <v>199</v>
      </c>
      <c r="D47" s="996"/>
      <c r="E47" s="997">
        <f>IFERROR('施設規模の設定（既存）'!G12,0)</f>
        <v>0</v>
      </c>
      <c r="F47" s="998"/>
      <c r="G47" s="998"/>
      <c r="H47" s="998"/>
      <c r="I47" s="998"/>
      <c r="J47" s="998"/>
      <c r="K47" s="998"/>
      <c r="L47" s="999"/>
      <c r="M47" s="1000" t="str">
        <f>IF(E48="適用条件を満たさない、対応が必要。","⇒","")</f>
        <v/>
      </c>
      <c r="N47" s="995"/>
      <c r="O47" s="1001" t="str">
        <f>+IF(E48="適用条件を満たさない、対応が必要。","投入バイオマス濃度の調整・滞留時間の確保等の対応が必要。","")</f>
        <v/>
      </c>
      <c r="P47" s="1001"/>
      <c r="Q47" s="1001"/>
      <c r="R47" s="1001"/>
      <c r="S47" s="1001"/>
      <c r="T47" s="1001"/>
      <c r="U47" s="1001"/>
      <c r="V47" s="1001"/>
      <c r="W47" s="1001"/>
      <c r="X47" s="1001"/>
      <c r="Y47" s="1001"/>
      <c r="Z47" s="1001"/>
      <c r="AA47" s="1001"/>
      <c r="AB47" s="1001"/>
    </row>
    <row r="48" spans="2:63" ht="15.95" customHeight="1" thickBot="1">
      <c r="C48" s="995"/>
      <c r="D48" s="996"/>
      <c r="E48" s="1002" t="str">
        <f>+IF(E47&lt;=3.5,"適用条件を満たす。","適用条件を満たさない、対応が必要。")</f>
        <v>適用条件を満たす。</v>
      </c>
      <c r="F48" s="1003"/>
      <c r="G48" s="1003"/>
      <c r="H48" s="1003"/>
      <c r="I48" s="1003"/>
      <c r="J48" s="1003"/>
      <c r="K48" s="1003"/>
      <c r="L48" s="1004"/>
      <c r="M48" s="1000"/>
      <c r="N48" s="995"/>
      <c r="O48" s="1001"/>
      <c r="P48" s="1001"/>
      <c r="Q48" s="1001"/>
      <c r="R48" s="1001"/>
      <c r="S48" s="1001"/>
      <c r="T48" s="1001"/>
      <c r="U48" s="1001"/>
      <c r="V48" s="1001"/>
      <c r="W48" s="1001"/>
      <c r="X48" s="1001"/>
      <c r="Y48" s="1001"/>
      <c r="Z48" s="1001"/>
      <c r="AA48" s="1001"/>
      <c r="AB48" s="1001"/>
    </row>
    <row r="50" spans="2:49" ht="15.95" customHeight="1" thickBot="1">
      <c r="B50" s="893" t="s">
        <v>510</v>
      </c>
      <c r="C50" s="893"/>
      <c r="D50" s="893"/>
      <c r="E50" s="893"/>
      <c r="F50" s="893"/>
      <c r="G50" s="893"/>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row>
    <row r="51" spans="2:49" ht="15.95" customHeight="1">
      <c r="B51" s="1010" t="s">
        <v>23</v>
      </c>
      <c r="C51" s="1011"/>
      <c r="D51" s="1011"/>
      <c r="E51" s="1011" t="s">
        <v>113</v>
      </c>
      <c r="F51" s="1011"/>
      <c r="G51" s="1011"/>
      <c r="H51" s="1011"/>
      <c r="I51" s="1011"/>
      <c r="J51" s="1011" t="s">
        <v>114</v>
      </c>
      <c r="K51" s="1011"/>
      <c r="L51" s="1011"/>
      <c r="M51" s="1011"/>
      <c r="N51" s="1011"/>
      <c r="O51" s="1011" t="s">
        <v>115</v>
      </c>
      <c r="P51" s="1011"/>
      <c r="Q51" s="1011"/>
      <c r="R51" s="1011"/>
      <c r="S51" s="1011"/>
      <c r="T51" s="1011" t="s">
        <v>116</v>
      </c>
      <c r="U51" s="1011"/>
      <c r="V51" s="1011"/>
      <c r="W51" s="1011"/>
      <c r="X51" s="1011"/>
      <c r="Y51" s="1011" t="s">
        <v>117</v>
      </c>
      <c r="Z51" s="1011"/>
      <c r="AA51" s="1011"/>
      <c r="AB51" s="1011"/>
      <c r="AC51" s="1011"/>
      <c r="AD51" s="1011" t="s">
        <v>319</v>
      </c>
      <c r="AE51" s="1011"/>
      <c r="AF51" s="1011"/>
      <c r="AG51" s="1011"/>
      <c r="AH51" s="1011"/>
      <c r="AI51" s="1011" t="s">
        <v>320</v>
      </c>
      <c r="AJ51" s="1011"/>
      <c r="AK51" s="1011"/>
      <c r="AL51" s="1011"/>
      <c r="AM51" s="1011"/>
      <c r="AN51" s="1011" t="s">
        <v>25</v>
      </c>
      <c r="AO51" s="1011"/>
      <c r="AP51" s="1011"/>
      <c r="AQ51" s="1011"/>
      <c r="AR51" s="1011"/>
      <c r="AS51" s="1011"/>
      <c r="AT51" s="1011"/>
      <c r="AU51" s="1011"/>
      <c r="AV51" s="1011"/>
      <c r="AW51" s="1020"/>
    </row>
    <row r="52" spans="2:49" ht="15.95" customHeight="1">
      <c r="B52" s="1012"/>
      <c r="C52" s="1013"/>
      <c r="D52" s="1013"/>
      <c r="E52" s="1043">
        <f>+L12</f>
        <v>0</v>
      </c>
      <c r="F52" s="1043"/>
      <c r="G52" s="1043"/>
      <c r="H52" s="1043"/>
      <c r="I52" s="1043"/>
      <c r="J52" s="1043">
        <f>+V12</f>
        <v>0</v>
      </c>
      <c r="K52" s="1043"/>
      <c r="L52" s="1043"/>
      <c r="M52" s="1043"/>
      <c r="N52" s="1043"/>
      <c r="O52" s="1043">
        <f>+AA12</f>
        <v>0</v>
      </c>
      <c r="P52" s="1043"/>
      <c r="Q52" s="1043"/>
      <c r="R52" s="1043"/>
      <c r="S52" s="1043"/>
      <c r="T52" s="1043">
        <f>+AF12</f>
        <v>0</v>
      </c>
      <c r="U52" s="1043"/>
      <c r="V52" s="1043"/>
      <c r="W52" s="1043"/>
      <c r="X52" s="1043"/>
      <c r="Y52" s="1043">
        <f>+AK12</f>
        <v>0</v>
      </c>
      <c r="Z52" s="1043"/>
      <c r="AA52" s="1043"/>
      <c r="AB52" s="1043"/>
      <c r="AC52" s="1043"/>
      <c r="AD52" s="1043">
        <f>+AP12</f>
        <v>0</v>
      </c>
      <c r="AE52" s="1043"/>
      <c r="AF52" s="1043"/>
      <c r="AG52" s="1043"/>
      <c r="AH52" s="1043"/>
      <c r="AI52" s="1043">
        <f>+AU12</f>
        <v>0</v>
      </c>
      <c r="AJ52" s="1043"/>
      <c r="AK52" s="1043"/>
      <c r="AL52" s="1043"/>
      <c r="AM52" s="1043"/>
      <c r="AN52" s="1044" t="s">
        <v>460</v>
      </c>
      <c r="AO52" s="1045"/>
      <c r="AP52" s="1045"/>
      <c r="AQ52" s="1045"/>
      <c r="AR52" s="1045"/>
      <c r="AS52" s="1045"/>
      <c r="AT52" s="1045"/>
      <c r="AU52" s="1045"/>
      <c r="AV52" s="1045"/>
      <c r="AW52" s="1046"/>
    </row>
    <row r="53" spans="2:49" ht="15.95" customHeight="1">
      <c r="B53" s="1021" t="s">
        <v>328</v>
      </c>
      <c r="C53" s="908"/>
      <c r="D53" s="908"/>
      <c r="E53" s="931"/>
      <c r="F53" s="931"/>
      <c r="G53" s="931"/>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31"/>
      <c r="AG53" s="931"/>
      <c r="AH53" s="931"/>
      <c r="AI53" s="931"/>
      <c r="AJ53" s="931"/>
      <c r="AK53" s="931"/>
      <c r="AL53" s="931"/>
      <c r="AM53" s="931"/>
      <c r="AN53" s="1047"/>
      <c r="AO53" s="1048"/>
      <c r="AP53" s="1048"/>
      <c r="AQ53" s="1048"/>
      <c r="AR53" s="1048"/>
      <c r="AS53" s="1048"/>
      <c r="AT53" s="1048"/>
      <c r="AU53" s="1048"/>
      <c r="AV53" s="1048"/>
      <c r="AW53" s="1049"/>
    </row>
    <row r="54" spans="2:49" ht="15.95" customHeight="1">
      <c r="B54" s="1035" t="s">
        <v>22</v>
      </c>
      <c r="C54" s="932"/>
      <c r="D54" s="932"/>
      <c r="E54" s="931"/>
      <c r="F54" s="931"/>
      <c r="G54" s="931"/>
      <c r="H54" s="931"/>
      <c r="I54" s="931"/>
      <c r="J54" s="931"/>
      <c r="K54" s="931"/>
      <c r="L54" s="931"/>
      <c r="M54" s="931"/>
      <c r="N54" s="931"/>
      <c r="O54" s="931"/>
      <c r="P54" s="931"/>
      <c r="Q54" s="931"/>
      <c r="R54" s="931"/>
      <c r="S54" s="931"/>
      <c r="T54" s="931"/>
      <c r="U54" s="931"/>
      <c r="V54" s="931"/>
      <c r="W54" s="931"/>
      <c r="X54" s="931"/>
      <c r="Y54" s="931"/>
      <c r="Z54" s="931"/>
      <c r="AA54" s="931"/>
      <c r="AB54" s="931"/>
      <c r="AC54" s="931"/>
      <c r="AD54" s="931"/>
      <c r="AE54" s="931"/>
      <c r="AF54" s="931"/>
      <c r="AG54" s="931"/>
      <c r="AH54" s="931"/>
      <c r="AI54" s="931"/>
      <c r="AJ54" s="931"/>
      <c r="AK54" s="931"/>
      <c r="AL54" s="931"/>
      <c r="AM54" s="931"/>
      <c r="AN54" s="1047"/>
      <c r="AO54" s="1048"/>
      <c r="AP54" s="1048"/>
      <c r="AQ54" s="1048"/>
      <c r="AR54" s="1048"/>
      <c r="AS54" s="1048"/>
      <c r="AT54" s="1048"/>
      <c r="AU54" s="1048"/>
      <c r="AV54" s="1048"/>
      <c r="AW54" s="1049"/>
    </row>
    <row r="55" spans="2:49" ht="15.95" customHeight="1">
      <c r="B55" s="1035" t="s">
        <v>47</v>
      </c>
      <c r="C55" s="932"/>
      <c r="D55" s="932"/>
      <c r="E55" s="931"/>
      <c r="F55" s="931"/>
      <c r="G55" s="931"/>
      <c r="H55" s="931"/>
      <c r="I55" s="931"/>
      <c r="J55" s="931"/>
      <c r="K55" s="931"/>
      <c r="L55" s="931"/>
      <c r="M55" s="931"/>
      <c r="N55" s="931"/>
      <c r="O55" s="931"/>
      <c r="P55" s="931"/>
      <c r="Q55" s="931"/>
      <c r="R55" s="931"/>
      <c r="S55" s="931"/>
      <c r="T55" s="931"/>
      <c r="U55" s="931"/>
      <c r="V55" s="931"/>
      <c r="W55" s="931"/>
      <c r="X55" s="931"/>
      <c r="Y55" s="931"/>
      <c r="Z55" s="931"/>
      <c r="AA55" s="931"/>
      <c r="AB55" s="931"/>
      <c r="AC55" s="931"/>
      <c r="AD55" s="931"/>
      <c r="AE55" s="931"/>
      <c r="AF55" s="931"/>
      <c r="AG55" s="931"/>
      <c r="AH55" s="931"/>
      <c r="AI55" s="931"/>
      <c r="AJ55" s="931"/>
      <c r="AK55" s="931"/>
      <c r="AL55" s="931"/>
      <c r="AM55" s="931"/>
      <c r="AN55" s="1047"/>
      <c r="AO55" s="1048"/>
      <c r="AP55" s="1048"/>
      <c r="AQ55" s="1048"/>
      <c r="AR55" s="1048"/>
      <c r="AS55" s="1048"/>
      <c r="AT55" s="1048"/>
      <c r="AU55" s="1048"/>
      <c r="AV55" s="1048"/>
      <c r="AW55" s="1049"/>
    </row>
    <row r="56" spans="2:49" ht="15.95" customHeight="1">
      <c r="B56" s="1190" t="s">
        <v>483</v>
      </c>
      <c r="C56" s="1191"/>
      <c r="D56" s="1192"/>
      <c r="E56" s="887"/>
      <c r="F56" s="888"/>
      <c r="G56" s="888"/>
      <c r="H56" s="888"/>
      <c r="I56" s="889"/>
      <c r="J56" s="887"/>
      <c r="K56" s="888"/>
      <c r="L56" s="888"/>
      <c r="M56" s="888"/>
      <c r="N56" s="889"/>
      <c r="O56" s="887"/>
      <c r="P56" s="888"/>
      <c r="Q56" s="888"/>
      <c r="R56" s="888"/>
      <c r="S56" s="889"/>
      <c r="T56" s="887"/>
      <c r="U56" s="888"/>
      <c r="V56" s="888"/>
      <c r="W56" s="888"/>
      <c r="X56" s="889"/>
      <c r="Y56" s="887"/>
      <c r="Z56" s="888"/>
      <c r="AA56" s="888"/>
      <c r="AB56" s="888"/>
      <c r="AC56" s="889"/>
      <c r="AD56" s="887"/>
      <c r="AE56" s="888"/>
      <c r="AF56" s="888"/>
      <c r="AG56" s="888"/>
      <c r="AH56" s="889"/>
      <c r="AI56" s="887"/>
      <c r="AJ56" s="888"/>
      <c r="AK56" s="888"/>
      <c r="AL56" s="888"/>
      <c r="AM56" s="889"/>
      <c r="AN56" s="1047"/>
      <c r="AO56" s="1048"/>
      <c r="AP56" s="1048"/>
      <c r="AQ56" s="1048"/>
      <c r="AR56" s="1048"/>
      <c r="AS56" s="1048"/>
      <c r="AT56" s="1048"/>
      <c r="AU56" s="1048"/>
      <c r="AV56" s="1048"/>
      <c r="AW56" s="1049"/>
    </row>
    <row r="57" spans="2:49" ht="15.95" customHeight="1" thickBot="1">
      <c r="B57" s="1027" t="s">
        <v>310</v>
      </c>
      <c r="C57" s="1028"/>
      <c r="D57" s="1028"/>
      <c r="E57" s="959"/>
      <c r="F57" s="959"/>
      <c r="G57" s="959"/>
      <c r="H57" s="959"/>
      <c r="I57" s="959"/>
      <c r="J57" s="939"/>
      <c r="K57" s="937"/>
      <c r="L57" s="937"/>
      <c r="M57" s="937"/>
      <c r="N57" s="938"/>
      <c r="O57" s="939"/>
      <c r="P57" s="937"/>
      <c r="Q57" s="937"/>
      <c r="R57" s="937"/>
      <c r="S57" s="938"/>
      <c r="T57" s="939"/>
      <c r="U57" s="937"/>
      <c r="V57" s="937"/>
      <c r="W57" s="937"/>
      <c r="X57" s="938"/>
      <c r="Y57" s="939"/>
      <c r="Z57" s="937"/>
      <c r="AA57" s="937"/>
      <c r="AB57" s="937"/>
      <c r="AC57" s="938"/>
      <c r="AD57" s="939"/>
      <c r="AE57" s="937"/>
      <c r="AF57" s="937"/>
      <c r="AG57" s="937"/>
      <c r="AH57" s="938"/>
      <c r="AI57" s="939"/>
      <c r="AJ57" s="937"/>
      <c r="AK57" s="937"/>
      <c r="AL57" s="937"/>
      <c r="AM57" s="938"/>
      <c r="AN57" s="963"/>
      <c r="AO57" s="964"/>
      <c r="AP57" s="964"/>
      <c r="AQ57" s="964"/>
      <c r="AR57" s="964"/>
      <c r="AS57" s="964"/>
      <c r="AT57" s="964"/>
      <c r="AU57" s="964"/>
      <c r="AV57" s="964"/>
      <c r="AW57" s="965"/>
    </row>
    <row r="59" spans="2:49" ht="15.95" customHeight="1" thickBot="1">
      <c r="B59" s="270" t="s">
        <v>507</v>
      </c>
      <c r="C59" s="270"/>
      <c r="D59" s="270"/>
      <c r="E59" s="270"/>
      <c r="F59" s="270"/>
      <c r="G59" s="270"/>
      <c r="H59" s="270"/>
      <c r="I59" s="270"/>
      <c r="J59" s="270"/>
      <c r="K59" s="270"/>
      <c r="L59" s="270"/>
      <c r="M59" s="270"/>
      <c r="N59" s="270"/>
      <c r="O59" s="270"/>
      <c r="V59" s="1005" t="s">
        <v>508</v>
      </c>
      <c r="W59" s="1005"/>
      <c r="X59" s="1005"/>
      <c r="Y59" s="1005"/>
      <c r="Z59" s="1005"/>
      <c r="AA59" s="1005"/>
      <c r="AB59" s="1005"/>
      <c r="AC59" s="1005"/>
      <c r="AD59" s="1005"/>
      <c r="AE59" s="1005"/>
      <c r="AF59" s="1005"/>
      <c r="AG59" s="1005"/>
      <c r="AH59" s="1005"/>
      <c r="AI59" s="1005"/>
      <c r="AJ59" s="1005"/>
      <c r="AK59" s="1005"/>
      <c r="AL59" s="1005"/>
    </row>
    <row r="60" spans="2:49" ht="15.95" customHeight="1">
      <c r="B60" s="1010" t="s">
        <v>23</v>
      </c>
      <c r="C60" s="1011"/>
      <c r="D60" s="1011"/>
      <c r="E60" s="1011" t="s">
        <v>24</v>
      </c>
      <c r="F60" s="1011"/>
      <c r="G60" s="1011"/>
      <c r="H60" s="1011" t="s">
        <v>193</v>
      </c>
      <c r="I60" s="1011"/>
      <c r="J60" s="1011"/>
      <c r="K60" s="1011" t="s">
        <v>25</v>
      </c>
      <c r="L60" s="1011"/>
      <c r="M60" s="1011"/>
      <c r="N60" s="1011"/>
      <c r="O60" s="1011"/>
      <c r="P60" s="1011"/>
      <c r="Q60" s="1011"/>
      <c r="R60" s="1011"/>
      <c r="S60" s="1020"/>
      <c r="V60" s="1055" t="s">
        <v>23</v>
      </c>
      <c r="W60" s="1018"/>
      <c r="X60" s="1019"/>
      <c r="Y60" s="1056" t="s">
        <v>238</v>
      </c>
      <c r="Z60" s="1056"/>
      <c r="AA60" s="1056"/>
      <c r="AB60" s="1056" t="s">
        <v>239</v>
      </c>
      <c r="AC60" s="1056"/>
      <c r="AD60" s="1056"/>
      <c r="AE60" s="1056" t="s">
        <v>240</v>
      </c>
      <c r="AF60" s="1056"/>
      <c r="AG60" s="1056"/>
      <c r="AH60" s="1011" t="s">
        <v>25</v>
      </c>
      <c r="AI60" s="1011"/>
      <c r="AJ60" s="1011"/>
      <c r="AK60" s="1011"/>
      <c r="AL60" s="1020"/>
    </row>
    <row r="61" spans="2:49" ht="15.95" customHeight="1">
      <c r="B61" s="1060" t="s">
        <v>490</v>
      </c>
      <c r="C61" s="909"/>
      <c r="D61" s="909"/>
      <c r="E61" s="909" t="s">
        <v>192</v>
      </c>
      <c r="F61" s="909"/>
      <c r="G61" s="909"/>
      <c r="H61" s="1058">
        <v>12</v>
      </c>
      <c r="I61" s="1058"/>
      <c r="J61" s="1058"/>
      <c r="K61" s="922" t="s">
        <v>699</v>
      </c>
      <c r="L61" s="922"/>
      <c r="M61" s="922"/>
      <c r="N61" s="922"/>
      <c r="O61" s="922"/>
      <c r="P61" s="922"/>
      <c r="Q61" s="922"/>
      <c r="R61" s="922"/>
      <c r="S61" s="1061"/>
      <c r="V61" s="1051" t="s">
        <v>95</v>
      </c>
      <c r="W61" s="941"/>
      <c r="X61" s="942"/>
      <c r="Y61" s="1059">
        <v>0.1</v>
      </c>
      <c r="Z61" s="1059"/>
      <c r="AA61" s="1059"/>
      <c r="AB61" s="1057">
        <v>2.3E-2</v>
      </c>
      <c r="AC61" s="1057"/>
      <c r="AD61" s="1057"/>
      <c r="AE61" s="1058">
        <v>20</v>
      </c>
      <c r="AF61" s="1058"/>
      <c r="AG61" s="1058"/>
      <c r="AH61" s="909"/>
      <c r="AI61" s="909"/>
      <c r="AJ61" s="909"/>
      <c r="AK61" s="909"/>
      <c r="AL61" s="1034"/>
    </row>
    <row r="62" spans="2:49" ht="15.95" customHeight="1" thickBot="1">
      <c r="B62" s="1062" t="s">
        <v>491</v>
      </c>
      <c r="C62" s="934"/>
      <c r="D62" s="934"/>
      <c r="E62" s="934" t="s">
        <v>138</v>
      </c>
      <c r="F62" s="934"/>
      <c r="G62" s="934"/>
      <c r="H62" s="1063">
        <v>79</v>
      </c>
      <c r="I62" s="1063"/>
      <c r="J62" s="1063"/>
      <c r="K62" s="957"/>
      <c r="L62" s="957"/>
      <c r="M62" s="957"/>
      <c r="N62" s="957"/>
      <c r="O62" s="957"/>
      <c r="P62" s="957"/>
      <c r="Q62" s="957"/>
      <c r="R62" s="957"/>
      <c r="S62" s="1064"/>
      <c r="V62" s="1051" t="s">
        <v>146</v>
      </c>
      <c r="W62" s="941"/>
      <c r="X62" s="942"/>
      <c r="Y62" s="1059">
        <v>0.1</v>
      </c>
      <c r="Z62" s="1059"/>
      <c r="AA62" s="1059"/>
      <c r="AB62" s="1057">
        <v>2.3E-2</v>
      </c>
      <c r="AC62" s="1057"/>
      <c r="AD62" s="1057"/>
      <c r="AE62" s="1058">
        <v>15</v>
      </c>
      <c r="AF62" s="1058"/>
      <c r="AG62" s="1058"/>
      <c r="AH62" s="909"/>
      <c r="AI62" s="909"/>
      <c r="AJ62" s="909"/>
      <c r="AK62" s="909"/>
      <c r="AL62" s="1034"/>
    </row>
    <row r="63" spans="2:49" ht="15.95" customHeight="1" thickBot="1">
      <c r="V63" s="1065" t="s">
        <v>8</v>
      </c>
      <c r="W63" s="992"/>
      <c r="X63" s="993"/>
      <c r="Y63" s="1066">
        <v>0.1</v>
      </c>
      <c r="Z63" s="1066"/>
      <c r="AA63" s="1066"/>
      <c r="AB63" s="1067">
        <v>2.3E-2</v>
      </c>
      <c r="AC63" s="1067"/>
      <c r="AD63" s="1067"/>
      <c r="AE63" s="1063">
        <v>40</v>
      </c>
      <c r="AF63" s="1063"/>
      <c r="AG63" s="1063"/>
      <c r="AH63" s="934"/>
      <c r="AI63" s="934"/>
      <c r="AJ63" s="934"/>
      <c r="AK63" s="934"/>
      <c r="AL63" s="1037"/>
    </row>
    <row r="65" spans="2:17" ht="15.95" hidden="1" customHeight="1" thickBot="1">
      <c r="B65" s="264" t="s">
        <v>228</v>
      </c>
    </row>
    <row r="66" spans="2:17" ht="15.95" hidden="1" customHeight="1">
      <c r="B66" s="1072" t="s">
        <v>23</v>
      </c>
      <c r="C66" s="1073"/>
      <c r="D66" s="1073"/>
      <c r="E66" s="1073"/>
      <c r="F66" s="1073"/>
      <c r="G66" s="1073" t="s">
        <v>24</v>
      </c>
      <c r="H66" s="1073"/>
      <c r="I66" s="1073"/>
      <c r="J66" s="1073" t="s">
        <v>37</v>
      </c>
      <c r="K66" s="1073"/>
      <c r="L66" s="1073"/>
      <c r="M66" s="1074" t="s">
        <v>25</v>
      </c>
      <c r="N66" s="1074"/>
      <c r="O66" s="1074"/>
      <c r="P66" s="1074"/>
      <c r="Q66" s="1075"/>
    </row>
    <row r="67" spans="2:17" ht="15.95" hidden="1" customHeight="1">
      <c r="B67" s="1021" t="s">
        <v>223</v>
      </c>
      <c r="C67" s="908"/>
      <c r="D67" s="908"/>
      <c r="E67" s="908"/>
      <c r="F67" s="908"/>
      <c r="G67" s="909" t="s">
        <v>21</v>
      </c>
      <c r="H67" s="909"/>
      <c r="I67" s="909"/>
      <c r="J67" s="1058">
        <v>35</v>
      </c>
      <c r="K67" s="1058"/>
      <c r="L67" s="1058"/>
      <c r="M67" s="1068"/>
      <c r="N67" s="1068"/>
      <c r="O67" s="1068"/>
      <c r="P67" s="1068"/>
      <c r="Q67" s="1069"/>
    </row>
    <row r="68" spans="2:17" ht="15.95" hidden="1" customHeight="1">
      <c r="B68" s="1021" t="s">
        <v>224</v>
      </c>
      <c r="C68" s="908"/>
      <c r="D68" s="908"/>
      <c r="E68" s="908"/>
      <c r="F68" s="908"/>
      <c r="G68" s="909" t="s">
        <v>217</v>
      </c>
      <c r="H68" s="909"/>
      <c r="I68" s="909"/>
      <c r="J68" s="1058">
        <v>0.93</v>
      </c>
      <c r="K68" s="1058"/>
      <c r="L68" s="1058"/>
      <c r="M68" s="1068"/>
      <c r="N68" s="1068"/>
      <c r="O68" s="1068"/>
      <c r="P68" s="1068"/>
      <c r="Q68" s="1069"/>
    </row>
    <row r="69" spans="2:17" ht="15.95" hidden="1" customHeight="1" thickBot="1">
      <c r="B69" s="1027" t="s">
        <v>225</v>
      </c>
      <c r="C69" s="1028"/>
      <c r="D69" s="1028"/>
      <c r="E69" s="1028"/>
      <c r="F69" s="1028"/>
      <c r="G69" s="934" t="s">
        <v>21</v>
      </c>
      <c r="H69" s="934"/>
      <c r="I69" s="934"/>
      <c r="J69" s="1063">
        <v>50</v>
      </c>
      <c r="K69" s="1063"/>
      <c r="L69" s="1063"/>
      <c r="M69" s="1070"/>
      <c r="N69" s="1070"/>
      <c r="O69" s="1070"/>
      <c r="P69" s="1070"/>
      <c r="Q69" s="1071"/>
    </row>
    <row r="70" spans="2:17" ht="15.95" hidden="1" customHeight="1"/>
    <row r="71" spans="2:17" ht="15.95" hidden="1" customHeight="1" thickBot="1">
      <c r="B71" s="264" t="s">
        <v>226</v>
      </c>
    </row>
    <row r="72" spans="2:17" ht="15.95" hidden="1" customHeight="1">
      <c r="B72" s="1072" t="s">
        <v>23</v>
      </c>
      <c r="C72" s="1073"/>
      <c r="D72" s="1073"/>
      <c r="E72" s="1073"/>
      <c r="F72" s="1073"/>
      <c r="G72" s="1073" t="s">
        <v>24</v>
      </c>
      <c r="H72" s="1073"/>
      <c r="I72" s="1073"/>
      <c r="J72" s="1073" t="s">
        <v>37</v>
      </c>
      <c r="K72" s="1073"/>
      <c r="L72" s="1073"/>
      <c r="M72" s="1074" t="s">
        <v>25</v>
      </c>
      <c r="N72" s="1074"/>
      <c r="O72" s="1074"/>
      <c r="P72" s="1074"/>
      <c r="Q72" s="1075"/>
    </row>
    <row r="73" spans="2:17" ht="15.95" hidden="1" customHeight="1">
      <c r="B73" s="1021" t="s">
        <v>104</v>
      </c>
      <c r="C73" s="908"/>
      <c r="D73" s="908"/>
      <c r="E73" s="908"/>
      <c r="F73" s="908"/>
      <c r="G73" s="909" t="s">
        <v>107</v>
      </c>
      <c r="H73" s="909"/>
      <c r="I73" s="909"/>
      <c r="J73" s="1058">
        <v>35</v>
      </c>
      <c r="K73" s="1058"/>
      <c r="L73" s="1058"/>
      <c r="M73" s="1068"/>
      <c r="N73" s="1068"/>
      <c r="O73" s="1068"/>
      <c r="P73" s="1068"/>
      <c r="Q73" s="1069"/>
    </row>
    <row r="74" spans="2:17" ht="15.95" hidden="1" customHeight="1">
      <c r="B74" s="1021" t="s">
        <v>105</v>
      </c>
      <c r="C74" s="908"/>
      <c r="D74" s="908"/>
      <c r="E74" s="908"/>
      <c r="F74" s="908"/>
      <c r="G74" s="909" t="s">
        <v>107</v>
      </c>
      <c r="H74" s="909"/>
      <c r="I74" s="909"/>
      <c r="J74" s="1058">
        <v>10</v>
      </c>
      <c r="K74" s="1058"/>
      <c r="L74" s="1058"/>
      <c r="M74" s="1068"/>
      <c r="N74" s="1068"/>
      <c r="O74" s="1068"/>
      <c r="P74" s="1068"/>
      <c r="Q74" s="1069"/>
    </row>
    <row r="75" spans="2:17" ht="15.95" hidden="1" customHeight="1">
      <c r="B75" s="1035" t="s">
        <v>76</v>
      </c>
      <c r="C75" s="932"/>
      <c r="D75" s="932"/>
      <c r="E75" s="932"/>
      <c r="F75" s="932"/>
      <c r="G75" s="909" t="s">
        <v>21</v>
      </c>
      <c r="H75" s="909"/>
      <c r="I75" s="909"/>
      <c r="J75" s="1058">
        <v>60</v>
      </c>
      <c r="K75" s="1058"/>
      <c r="L75" s="1058"/>
      <c r="M75" s="1068"/>
      <c r="N75" s="1068"/>
      <c r="O75" s="1068"/>
      <c r="P75" s="1068"/>
      <c r="Q75" s="1069"/>
    </row>
    <row r="76" spans="2:17" ht="15.95" hidden="1" customHeight="1" thickBot="1">
      <c r="B76" s="1062" t="s">
        <v>75</v>
      </c>
      <c r="C76" s="934"/>
      <c r="D76" s="934"/>
      <c r="E76" s="934"/>
      <c r="F76" s="934"/>
      <c r="G76" s="934" t="s">
        <v>471</v>
      </c>
      <c r="H76" s="934"/>
      <c r="I76" s="934"/>
      <c r="J76" s="1063">
        <v>35739</v>
      </c>
      <c r="K76" s="1063"/>
      <c r="L76" s="1063"/>
      <c r="M76" s="1070" t="s">
        <v>79</v>
      </c>
      <c r="N76" s="1070"/>
      <c r="O76" s="1070"/>
      <c r="P76" s="1070"/>
      <c r="Q76" s="1071"/>
    </row>
    <row r="77" spans="2:17" ht="15.95" hidden="1" customHeight="1"/>
    <row r="78" spans="2:17" ht="15.95" hidden="1" customHeight="1" thickBot="1">
      <c r="B78" s="264" t="s">
        <v>227</v>
      </c>
    </row>
    <row r="79" spans="2:17" ht="15.95" hidden="1" customHeight="1">
      <c r="B79" s="1072" t="s">
        <v>23</v>
      </c>
      <c r="C79" s="1073"/>
      <c r="D79" s="1073"/>
      <c r="E79" s="1073"/>
      <c r="F79" s="1073"/>
      <c r="G79" s="1073" t="s">
        <v>24</v>
      </c>
      <c r="H79" s="1073"/>
      <c r="I79" s="1073"/>
      <c r="J79" s="1073" t="s">
        <v>37</v>
      </c>
      <c r="K79" s="1073"/>
      <c r="L79" s="1073"/>
      <c r="M79" s="1074" t="s">
        <v>25</v>
      </c>
      <c r="N79" s="1074"/>
      <c r="O79" s="1074"/>
      <c r="P79" s="1074"/>
      <c r="Q79" s="1075"/>
    </row>
    <row r="80" spans="2:17" ht="15.95" hidden="1" customHeight="1">
      <c r="B80" s="1021" t="s">
        <v>78</v>
      </c>
      <c r="C80" s="908"/>
      <c r="D80" s="908"/>
      <c r="E80" s="908"/>
      <c r="F80" s="908"/>
      <c r="G80" s="909" t="s">
        <v>21</v>
      </c>
      <c r="H80" s="909"/>
      <c r="I80" s="909"/>
      <c r="J80" s="1058">
        <v>85</v>
      </c>
      <c r="K80" s="1058"/>
      <c r="L80" s="1058"/>
      <c r="M80" s="1068"/>
      <c r="N80" s="1068"/>
      <c r="O80" s="1068"/>
      <c r="P80" s="1068"/>
      <c r="Q80" s="1069"/>
    </row>
    <row r="81" spans="2:37" ht="15.95" hidden="1" customHeight="1">
      <c r="B81" s="1021" t="s">
        <v>102</v>
      </c>
      <c r="C81" s="908"/>
      <c r="D81" s="908"/>
      <c r="E81" s="908"/>
      <c r="F81" s="908"/>
      <c r="G81" s="909" t="s">
        <v>21</v>
      </c>
      <c r="H81" s="909"/>
      <c r="I81" s="909"/>
      <c r="J81" s="1058">
        <v>25</v>
      </c>
      <c r="K81" s="1058"/>
      <c r="L81" s="1058"/>
      <c r="M81" s="1068"/>
      <c r="N81" s="1068"/>
      <c r="O81" s="1068"/>
      <c r="P81" s="1068"/>
      <c r="Q81" s="1069"/>
    </row>
    <row r="82" spans="2:37" ht="15.95" hidden="1" customHeight="1" thickBot="1">
      <c r="B82" s="1027" t="s">
        <v>222</v>
      </c>
      <c r="C82" s="1028"/>
      <c r="D82" s="1028"/>
      <c r="E82" s="1028"/>
      <c r="F82" s="1028"/>
      <c r="G82" s="934" t="s">
        <v>107</v>
      </c>
      <c r="H82" s="934"/>
      <c r="I82" s="934"/>
      <c r="J82" s="1063">
        <v>15</v>
      </c>
      <c r="K82" s="1063"/>
      <c r="L82" s="1063"/>
      <c r="M82" s="1070"/>
      <c r="N82" s="1070"/>
      <c r="O82" s="1070"/>
      <c r="P82" s="1070"/>
      <c r="Q82" s="1071"/>
    </row>
    <row r="84" spans="2:37" ht="15.95" customHeight="1" thickBot="1">
      <c r="B84" s="1005" t="s">
        <v>506</v>
      </c>
      <c r="C84" s="1005"/>
      <c r="D84" s="1005"/>
      <c r="E84" s="1005"/>
      <c r="F84" s="1005"/>
      <c r="G84" s="1005"/>
      <c r="H84" s="1005"/>
      <c r="I84" s="1005"/>
      <c r="J84" s="1005"/>
      <c r="K84" s="1005"/>
      <c r="L84" s="1005"/>
      <c r="M84" s="1005"/>
      <c r="N84" s="1005"/>
      <c r="O84" s="1005"/>
      <c r="P84" s="1005"/>
      <c r="Q84" s="1005"/>
      <c r="R84" s="1005"/>
      <c r="S84" s="1005"/>
      <c r="T84" s="1005"/>
      <c r="U84" s="1005"/>
      <c r="V84" s="1005"/>
      <c r="W84" s="1005"/>
      <c r="X84" s="1005"/>
      <c r="Y84" s="1005"/>
    </row>
    <row r="85" spans="2:37" ht="15.95" customHeight="1">
      <c r="B85" s="1010" t="s">
        <v>23</v>
      </c>
      <c r="C85" s="1011"/>
      <c r="D85" s="1011"/>
      <c r="E85" s="1011" t="s">
        <v>24</v>
      </c>
      <c r="F85" s="1011"/>
      <c r="G85" s="1011"/>
      <c r="H85" s="1011" t="s">
        <v>113</v>
      </c>
      <c r="I85" s="1011"/>
      <c r="J85" s="1011"/>
      <c r="K85" s="1011"/>
      <c r="L85" s="1011" t="s">
        <v>114</v>
      </c>
      <c r="M85" s="1011"/>
      <c r="N85" s="1011"/>
      <c r="O85" s="1011"/>
      <c r="P85" s="1011" t="s">
        <v>115</v>
      </c>
      <c r="Q85" s="1011"/>
      <c r="R85" s="1011"/>
      <c r="S85" s="1011"/>
      <c r="T85" s="1023" t="s">
        <v>199</v>
      </c>
      <c r="U85" s="1024"/>
      <c r="V85" s="1024"/>
      <c r="W85" s="1011" t="s">
        <v>23</v>
      </c>
      <c r="X85" s="1011"/>
      <c r="Y85" s="1011"/>
      <c r="Z85" s="1011"/>
      <c r="AA85" s="1011" t="s">
        <v>24</v>
      </c>
      <c r="AB85" s="1011"/>
      <c r="AC85" s="1011"/>
      <c r="AD85" s="1017" t="s">
        <v>204</v>
      </c>
      <c r="AE85" s="1018"/>
      <c r="AF85" s="1019"/>
      <c r="AG85" s="1011" t="s">
        <v>25</v>
      </c>
      <c r="AH85" s="1011"/>
      <c r="AI85" s="1011"/>
      <c r="AJ85" s="1011"/>
      <c r="AK85" s="1020"/>
    </row>
    <row r="86" spans="2:37" ht="15.95" customHeight="1">
      <c r="B86" s="1021" t="s">
        <v>457</v>
      </c>
      <c r="C86" s="908"/>
      <c r="D86" s="908"/>
      <c r="E86" s="909" t="s">
        <v>148</v>
      </c>
      <c r="F86" s="909"/>
      <c r="G86" s="909"/>
      <c r="H86" s="1022"/>
      <c r="I86" s="1022"/>
      <c r="J86" s="1022"/>
      <c r="K86" s="1022"/>
      <c r="L86" s="1022"/>
      <c r="M86" s="1022"/>
      <c r="N86" s="1022"/>
      <c r="O86" s="1022"/>
      <c r="P86" s="1022"/>
      <c r="Q86" s="1022"/>
      <c r="R86" s="1022"/>
      <c r="S86" s="1022"/>
      <c r="T86" s="1025"/>
      <c r="U86" s="1025"/>
      <c r="V86" s="1025"/>
      <c r="W86" s="909" t="s">
        <v>201</v>
      </c>
      <c r="X86" s="909"/>
      <c r="Y86" s="909"/>
      <c r="Z86" s="909"/>
      <c r="AA86" s="1032" t="s">
        <v>469</v>
      </c>
      <c r="AB86" s="1032"/>
      <c r="AC86" s="1032"/>
      <c r="AD86" s="1033">
        <f>SUM(H89:S89)</f>
        <v>0</v>
      </c>
      <c r="AE86" s="1033"/>
      <c r="AF86" s="1033"/>
      <c r="AG86" s="909"/>
      <c r="AH86" s="909"/>
      <c r="AI86" s="909"/>
      <c r="AJ86" s="909"/>
      <c r="AK86" s="1034"/>
    </row>
    <row r="87" spans="2:37" ht="15.95" customHeight="1">
      <c r="B87" s="1035" t="s">
        <v>456</v>
      </c>
      <c r="C87" s="932"/>
      <c r="D87" s="932"/>
      <c r="E87" s="1032" t="s">
        <v>470</v>
      </c>
      <c r="F87" s="1032"/>
      <c r="G87" s="1032"/>
      <c r="H87" s="1041"/>
      <c r="I87" s="1041"/>
      <c r="J87" s="1041"/>
      <c r="K87" s="1041"/>
      <c r="L87" s="1042"/>
      <c r="M87" s="1042"/>
      <c r="N87" s="1042"/>
      <c r="O87" s="1042"/>
      <c r="P87" s="1042"/>
      <c r="Q87" s="1042"/>
      <c r="R87" s="1042"/>
      <c r="S87" s="1042"/>
      <c r="T87" s="1025"/>
      <c r="U87" s="1025"/>
      <c r="V87" s="1025"/>
      <c r="W87" s="909" t="s">
        <v>202</v>
      </c>
      <c r="X87" s="909"/>
      <c r="Y87" s="909"/>
      <c r="Z87" s="909"/>
      <c r="AA87" s="1032" t="s">
        <v>469</v>
      </c>
      <c r="AB87" s="1032"/>
      <c r="AC87" s="1032"/>
      <c r="AD87" s="1050">
        <f>'物質収支（既存）'!X32</f>
        <v>0</v>
      </c>
      <c r="AE87" s="909"/>
      <c r="AF87" s="909"/>
      <c r="AG87" s="909"/>
      <c r="AH87" s="909"/>
      <c r="AI87" s="909"/>
      <c r="AJ87" s="909"/>
      <c r="AK87" s="1034"/>
    </row>
    <row r="88" spans="2:37" ht="15.95" customHeight="1">
      <c r="B88" s="1035" t="s">
        <v>150</v>
      </c>
      <c r="C88" s="932"/>
      <c r="D88" s="932"/>
      <c r="E88" s="1032" t="s">
        <v>149</v>
      </c>
      <c r="F88" s="1032"/>
      <c r="G88" s="1032"/>
      <c r="H88" s="1038"/>
      <c r="I88" s="1038"/>
      <c r="J88" s="1038"/>
      <c r="K88" s="1038"/>
      <c r="L88" s="1039"/>
      <c r="M88" s="1039"/>
      <c r="N88" s="1039"/>
      <c r="O88" s="1039"/>
      <c r="P88" s="1039"/>
      <c r="Q88" s="1039"/>
      <c r="R88" s="1039"/>
      <c r="S88" s="1039"/>
      <c r="T88" s="1025"/>
      <c r="U88" s="1025"/>
      <c r="V88" s="1025"/>
      <c r="W88" s="909" t="s">
        <v>203</v>
      </c>
      <c r="X88" s="909"/>
      <c r="Y88" s="909"/>
      <c r="Z88" s="909"/>
      <c r="AA88" s="1040" t="str">
        <f>+IF('物質収支（既存）'!X32&lt;'施設規模の設定（既存）'!G19,"設備の増設は不要","既存の設備では能力不足")</f>
        <v>既存の設備では能力不足</v>
      </c>
      <c r="AB88" s="1040"/>
      <c r="AC88" s="1040"/>
      <c r="AD88" s="1040"/>
      <c r="AE88" s="1040"/>
      <c r="AF88" s="1040"/>
      <c r="AG88" s="909"/>
      <c r="AH88" s="909"/>
      <c r="AI88" s="909"/>
      <c r="AJ88" s="909"/>
      <c r="AK88" s="1034"/>
    </row>
    <row r="89" spans="2:37" ht="15.95" customHeight="1" thickBot="1">
      <c r="B89" s="1027" t="s">
        <v>701</v>
      </c>
      <c r="C89" s="1028"/>
      <c r="D89" s="1028"/>
      <c r="E89" s="1029" t="s">
        <v>469</v>
      </c>
      <c r="F89" s="1029"/>
      <c r="G89" s="1029"/>
      <c r="H89" s="1030">
        <f>ROUND(H87*H88,3)</f>
        <v>0</v>
      </c>
      <c r="I89" s="1030"/>
      <c r="J89" s="1030"/>
      <c r="K89" s="1030"/>
      <c r="L89" s="1031">
        <f>ROUND(L87*L88,3)</f>
        <v>0</v>
      </c>
      <c r="M89" s="1031"/>
      <c r="N89" s="1031"/>
      <c r="O89" s="1031"/>
      <c r="P89" s="1031">
        <f>ROUND(P87*P88,3)</f>
        <v>0</v>
      </c>
      <c r="Q89" s="1031"/>
      <c r="R89" s="1031"/>
      <c r="S89" s="1031"/>
      <c r="T89" s="1026"/>
      <c r="U89" s="1026"/>
      <c r="V89" s="1026"/>
      <c r="W89" s="934" t="s">
        <v>188</v>
      </c>
      <c r="X89" s="934"/>
      <c r="Y89" s="934"/>
      <c r="Z89" s="934"/>
      <c r="AA89" s="1029" t="s">
        <v>469</v>
      </c>
      <c r="AB89" s="1029"/>
      <c r="AC89" s="1029"/>
      <c r="AD89" s="1036">
        <f>IF('施設規模の設定（既存）'!G20="O.K",0,-ROUNDUP('物質収支（既存）'!X32-'施設規模の設定（既存）'!G19,1))</f>
        <v>0</v>
      </c>
      <c r="AE89" s="1036"/>
      <c r="AF89" s="1036"/>
      <c r="AG89" s="934"/>
      <c r="AH89" s="934"/>
      <c r="AI89" s="934"/>
      <c r="AJ89" s="934"/>
      <c r="AK89" s="1037"/>
    </row>
    <row r="91" spans="2:37" ht="15.95" customHeight="1" thickBot="1">
      <c r="B91" s="264" t="s">
        <v>700</v>
      </c>
    </row>
    <row r="92" spans="2:37" ht="15.95" customHeight="1">
      <c r="B92" s="1010" t="s">
        <v>647</v>
      </c>
      <c r="C92" s="1011"/>
      <c r="D92" s="1011"/>
      <c r="E92" s="1011" t="s">
        <v>649</v>
      </c>
      <c r="F92" s="1011"/>
      <c r="G92" s="1011"/>
      <c r="H92" s="1011"/>
      <c r="I92" s="1017"/>
      <c r="J92" s="1017" t="s">
        <v>652</v>
      </c>
      <c r="K92" s="1018"/>
      <c r="L92" s="1018"/>
      <c r="M92" s="1018"/>
      <c r="N92" s="1018"/>
      <c r="O92" s="1018"/>
      <c r="P92" s="1018"/>
      <c r="Q92" s="1018"/>
      <c r="R92" s="1018"/>
      <c r="S92" s="1076"/>
    </row>
    <row r="93" spans="2:37" ht="15.95" customHeight="1">
      <c r="B93" s="1060" t="s">
        <v>648</v>
      </c>
      <c r="C93" s="909"/>
      <c r="D93" s="909"/>
      <c r="E93" s="931"/>
      <c r="F93" s="931"/>
      <c r="G93" s="931"/>
      <c r="H93" s="931"/>
      <c r="I93" s="887"/>
      <c r="J93" s="1047" t="s">
        <v>703</v>
      </c>
      <c r="K93" s="1048"/>
      <c r="L93" s="1048"/>
      <c r="M93" s="1048"/>
      <c r="N93" s="1048"/>
      <c r="O93" s="1048"/>
      <c r="P93" s="1048"/>
      <c r="Q93" s="1048"/>
      <c r="R93" s="1048"/>
      <c r="S93" s="1049"/>
    </row>
    <row r="94" spans="2:37" ht="15.95" customHeight="1" thickBot="1">
      <c r="B94" s="1062" t="s">
        <v>651</v>
      </c>
      <c r="C94" s="934"/>
      <c r="D94" s="934"/>
      <c r="E94" s="959"/>
      <c r="F94" s="959"/>
      <c r="G94" s="959"/>
      <c r="H94" s="959"/>
      <c r="I94" s="939"/>
      <c r="J94" s="963"/>
      <c r="K94" s="964"/>
      <c r="L94" s="964"/>
      <c r="M94" s="964"/>
      <c r="N94" s="964"/>
      <c r="O94" s="964"/>
      <c r="P94" s="964"/>
      <c r="Q94" s="964"/>
      <c r="R94" s="964"/>
      <c r="S94" s="965"/>
    </row>
    <row r="96" spans="2:37" ht="15.95" customHeight="1" thickBot="1">
      <c r="B96" s="264" t="s">
        <v>702</v>
      </c>
    </row>
    <row r="97" spans="2:19" ht="15.95" customHeight="1">
      <c r="B97" s="1010" t="s">
        <v>23</v>
      </c>
      <c r="C97" s="1011"/>
      <c r="D97" s="1011"/>
      <c r="E97" s="1011" t="s">
        <v>649</v>
      </c>
      <c r="F97" s="1011"/>
      <c r="G97" s="1011"/>
      <c r="H97" s="1011"/>
      <c r="I97" s="1017"/>
      <c r="J97" s="1017" t="s">
        <v>25</v>
      </c>
      <c r="K97" s="1018"/>
      <c r="L97" s="1018"/>
      <c r="M97" s="1018"/>
      <c r="N97" s="1018"/>
      <c r="O97" s="1018"/>
      <c r="P97" s="1018"/>
      <c r="Q97" s="1018"/>
      <c r="R97" s="1018"/>
      <c r="S97" s="1076"/>
    </row>
    <row r="98" spans="2:19" ht="15.95" customHeight="1">
      <c r="B98" s="1083" t="s">
        <v>704</v>
      </c>
      <c r="C98" s="1084"/>
      <c r="D98" s="1085"/>
      <c r="E98" s="1077"/>
      <c r="F98" s="1078"/>
      <c r="G98" s="1078"/>
      <c r="H98" s="1078"/>
      <c r="I98" s="1079"/>
      <c r="J98" s="1047" t="s">
        <v>705</v>
      </c>
      <c r="K98" s="1048"/>
      <c r="L98" s="1048"/>
      <c r="M98" s="1048"/>
      <c r="N98" s="1048"/>
      <c r="O98" s="1048"/>
      <c r="P98" s="1048"/>
      <c r="Q98" s="1048"/>
      <c r="R98" s="1048"/>
      <c r="S98" s="1049"/>
    </row>
    <row r="99" spans="2:19" ht="15.95" customHeight="1" thickBot="1">
      <c r="B99" s="1086"/>
      <c r="C99" s="1087"/>
      <c r="D99" s="1088"/>
      <c r="E99" s="1080"/>
      <c r="F99" s="1081"/>
      <c r="G99" s="1081"/>
      <c r="H99" s="1081"/>
      <c r="I99" s="1082"/>
      <c r="J99" s="963"/>
      <c r="K99" s="964"/>
      <c r="L99" s="964"/>
      <c r="M99" s="964"/>
      <c r="N99" s="964"/>
      <c r="O99" s="964"/>
      <c r="P99" s="964"/>
      <c r="Q99" s="964"/>
      <c r="R99" s="964"/>
      <c r="S99" s="965"/>
    </row>
  </sheetData>
  <sheetProtection formatCells="0"/>
  <dataConsolidate/>
  <mergeCells count="530">
    <mergeCell ref="B97:D97"/>
    <mergeCell ref="E97:I97"/>
    <mergeCell ref="J97:S97"/>
    <mergeCell ref="J98:S99"/>
    <mergeCell ref="B82:F82"/>
    <mergeCell ref="G82:I82"/>
    <mergeCell ref="J82:L82"/>
    <mergeCell ref="M82:Q82"/>
    <mergeCell ref="P89:S89"/>
    <mergeCell ref="B92:D92"/>
    <mergeCell ref="E92:I92"/>
    <mergeCell ref="J92:S92"/>
    <mergeCell ref="J93:S94"/>
    <mergeCell ref="E93:I93"/>
    <mergeCell ref="E94:I94"/>
    <mergeCell ref="B93:D93"/>
    <mergeCell ref="B94:D94"/>
    <mergeCell ref="E98:I99"/>
    <mergeCell ref="B98:D99"/>
    <mergeCell ref="B80:F80"/>
    <mergeCell ref="G80:I80"/>
    <mergeCell ref="J80:L80"/>
    <mergeCell ref="M80:Q80"/>
    <mergeCell ref="B81:F81"/>
    <mergeCell ref="G81:I81"/>
    <mergeCell ref="J81:L81"/>
    <mergeCell ref="M81:Q81"/>
    <mergeCell ref="B76:F76"/>
    <mergeCell ref="G76:I76"/>
    <mergeCell ref="J76:L76"/>
    <mergeCell ref="M76:Q76"/>
    <mergeCell ref="B79:F79"/>
    <mergeCell ref="G79:I79"/>
    <mergeCell ref="J79:L79"/>
    <mergeCell ref="M79:Q79"/>
    <mergeCell ref="B74:F74"/>
    <mergeCell ref="G74:I74"/>
    <mergeCell ref="J74:L74"/>
    <mergeCell ref="M74:Q74"/>
    <mergeCell ref="B75:F75"/>
    <mergeCell ref="G75:I75"/>
    <mergeCell ref="J75:L75"/>
    <mergeCell ref="M75:Q75"/>
    <mergeCell ref="B72:F72"/>
    <mergeCell ref="G72:I72"/>
    <mergeCell ref="J72:L72"/>
    <mergeCell ref="M72:Q72"/>
    <mergeCell ref="B73:F73"/>
    <mergeCell ref="G73:I73"/>
    <mergeCell ref="J73:L73"/>
    <mergeCell ref="M73:Q73"/>
    <mergeCell ref="B69:F69"/>
    <mergeCell ref="G69:I69"/>
    <mergeCell ref="J69:L69"/>
    <mergeCell ref="M69:Q69"/>
    <mergeCell ref="B66:F66"/>
    <mergeCell ref="G66:I66"/>
    <mergeCell ref="J66:L66"/>
    <mergeCell ref="M66:Q66"/>
    <mergeCell ref="B67:F67"/>
    <mergeCell ref="G67:I67"/>
    <mergeCell ref="J67:L67"/>
    <mergeCell ref="M67:Q67"/>
    <mergeCell ref="V63:X63"/>
    <mergeCell ref="Y63:AA63"/>
    <mergeCell ref="AB63:AD63"/>
    <mergeCell ref="AE63:AG63"/>
    <mergeCell ref="AH63:AL63"/>
    <mergeCell ref="B68:F68"/>
    <mergeCell ref="G68:I68"/>
    <mergeCell ref="J68:L68"/>
    <mergeCell ref="M68:Q68"/>
    <mergeCell ref="AB61:AD61"/>
    <mergeCell ref="AE61:AG61"/>
    <mergeCell ref="AH61:AL61"/>
    <mergeCell ref="V62:X62"/>
    <mergeCell ref="Y62:AA62"/>
    <mergeCell ref="AB62:AD62"/>
    <mergeCell ref="B61:D61"/>
    <mergeCell ref="E61:G61"/>
    <mergeCell ref="H61:J61"/>
    <mergeCell ref="K61:S61"/>
    <mergeCell ref="V61:X61"/>
    <mergeCell ref="Y61:AA61"/>
    <mergeCell ref="AE62:AG62"/>
    <mergeCell ref="B62:D62"/>
    <mergeCell ref="E62:G62"/>
    <mergeCell ref="H62:J62"/>
    <mergeCell ref="K62:S62"/>
    <mergeCell ref="AH62:AL62"/>
    <mergeCell ref="V59:AL59"/>
    <mergeCell ref="B60:D60"/>
    <mergeCell ref="E60:G60"/>
    <mergeCell ref="H60:J60"/>
    <mergeCell ref="K60:S60"/>
    <mergeCell ref="V60:X60"/>
    <mergeCell ref="Y60:AA60"/>
    <mergeCell ref="AB60:AD60"/>
    <mergeCell ref="AE60:AG60"/>
    <mergeCell ref="AH60:AL60"/>
    <mergeCell ref="B53:D53"/>
    <mergeCell ref="E53:I53"/>
    <mergeCell ref="J53:N53"/>
    <mergeCell ref="O53:S53"/>
    <mergeCell ref="T53:X53"/>
    <mergeCell ref="Y53:AC53"/>
    <mergeCell ref="AD53:AH53"/>
    <mergeCell ref="AI53:AM53"/>
    <mergeCell ref="B57:D57"/>
    <mergeCell ref="E57:I57"/>
    <mergeCell ref="J57:N57"/>
    <mergeCell ref="O57:S57"/>
    <mergeCell ref="T57:X57"/>
    <mergeCell ref="Y57:AC57"/>
    <mergeCell ref="AD57:AH57"/>
    <mergeCell ref="AI57:AM57"/>
    <mergeCell ref="B56:D56"/>
    <mergeCell ref="E56:I56"/>
    <mergeCell ref="J56:N56"/>
    <mergeCell ref="O56:S56"/>
    <mergeCell ref="T56:X56"/>
    <mergeCell ref="Y56:AC56"/>
    <mergeCell ref="O55:S55"/>
    <mergeCell ref="T55:X55"/>
    <mergeCell ref="Y55:AC55"/>
    <mergeCell ref="AD55:AH55"/>
    <mergeCell ref="AI55:AM55"/>
    <mergeCell ref="E54:I54"/>
    <mergeCell ref="J54:N54"/>
    <mergeCell ref="O54:S54"/>
    <mergeCell ref="T54:X54"/>
    <mergeCell ref="Y54:AC54"/>
    <mergeCell ref="AD54:AH54"/>
    <mergeCell ref="W89:Z89"/>
    <mergeCell ref="AA89:AC89"/>
    <mergeCell ref="W85:Z85"/>
    <mergeCell ref="AA85:AC85"/>
    <mergeCell ref="B54:D54"/>
    <mergeCell ref="AD51:AH51"/>
    <mergeCell ref="AI51:AM51"/>
    <mergeCell ref="AN51:AW51"/>
    <mergeCell ref="E52:I52"/>
    <mergeCell ref="J52:N52"/>
    <mergeCell ref="O52:S52"/>
    <mergeCell ref="T52:X52"/>
    <mergeCell ref="Y52:AC52"/>
    <mergeCell ref="AD52:AH52"/>
    <mergeCell ref="AI52:AM52"/>
    <mergeCell ref="E51:I51"/>
    <mergeCell ref="J51:N51"/>
    <mergeCell ref="O51:S51"/>
    <mergeCell ref="T51:X51"/>
    <mergeCell ref="Y51:AC51"/>
    <mergeCell ref="AN52:AW57"/>
    <mergeCell ref="AD56:AH56"/>
    <mergeCell ref="AI56:AM56"/>
    <mergeCell ref="AD87:AF87"/>
    <mergeCell ref="AG87:AK87"/>
    <mergeCell ref="B88:D88"/>
    <mergeCell ref="E88:G88"/>
    <mergeCell ref="H88:K88"/>
    <mergeCell ref="L88:O88"/>
    <mergeCell ref="P88:S88"/>
    <mergeCell ref="W88:Z88"/>
    <mergeCell ref="AA88:AF88"/>
    <mergeCell ref="AG88:AK88"/>
    <mergeCell ref="E87:G87"/>
    <mergeCell ref="H87:K87"/>
    <mergeCell ref="L87:O87"/>
    <mergeCell ref="P87:S87"/>
    <mergeCell ref="W87:Z87"/>
    <mergeCell ref="AA87:AC87"/>
    <mergeCell ref="AD85:AF85"/>
    <mergeCell ref="AG85:AK85"/>
    <mergeCell ref="B86:D86"/>
    <mergeCell ref="E86:G86"/>
    <mergeCell ref="H86:K86"/>
    <mergeCell ref="L86:O86"/>
    <mergeCell ref="P86:S86"/>
    <mergeCell ref="W86:Z86"/>
    <mergeCell ref="B85:D85"/>
    <mergeCell ref="E85:G85"/>
    <mergeCell ref="H85:K85"/>
    <mergeCell ref="L85:O85"/>
    <mergeCell ref="P85:S85"/>
    <mergeCell ref="T85:V89"/>
    <mergeCell ref="B89:D89"/>
    <mergeCell ref="E89:G89"/>
    <mergeCell ref="H89:K89"/>
    <mergeCell ref="L89:O89"/>
    <mergeCell ref="AA86:AC86"/>
    <mergeCell ref="AD86:AF86"/>
    <mergeCell ref="AG86:AK86"/>
    <mergeCell ref="B87:D87"/>
    <mergeCell ref="AD89:AF89"/>
    <mergeCell ref="AG89:AK89"/>
    <mergeCell ref="C47:D48"/>
    <mergeCell ref="E47:L47"/>
    <mergeCell ref="M47:N48"/>
    <mergeCell ref="O47:AB48"/>
    <mergeCell ref="E48:L48"/>
    <mergeCell ref="B84:Y84"/>
    <mergeCell ref="AK42:AO42"/>
    <mergeCell ref="AP42:AT42"/>
    <mergeCell ref="AU42:AY42"/>
    <mergeCell ref="C44:D45"/>
    <mergeCell ref="E44:L44"/>
    <mergeCell ref="M44:N45"/>
    <mergeCell ref="O44:AB45"/>
    <mergeCell ref="E45:L45"/>
    <mergeCell ref="B41:B42"/>
    <mergeCell ref="AK41:AO41"/>
    <mergeCell ref="AP41:AT41"/>
    <mergeCell ref="AU41:AY41"/>
    <mergeCell ref="B50:AW50"/>
    <mergeCell ref="B51:D52"/>
    <mergeCell ref="AI54:AM54"/>
    <mergeCell ref="B55:D55"/>
    <mergeCell ref="E55:I55"/>
    <mergeCell ref="J55:N55"/>
    <mergeCell ref="AZ41:BK42"/>
    <mergeCell ref="C42:H42"/>
    <mergeCell ref="I42:K42"/>
    <mergeCell ref="L42:U42"/>
    <mergeCell ref="V42:Z42"/>
    <mergeCell ref="AA42:AE42"/>
    <mergeCell ref="AF42:AJ42"/>
    <mergeCell ref="C41:H41"/>
    <mergeCell ref="I41:K41"/>
    <mergeCell ref="L41:U41"/>
    <mergeCell ref="V41:Z41"/>
    <mergeCell ref="AA41:AE41"/>
    <mergeCell ref="AF41:AJ41"/>
    <mergeCell ref="B29:B40"/>
    <mergeCell ref="C29:H29"/>
    <mergeCell ref="I29:K29"/>
    <mergeCell ref="L29:P29"/>
    <mergeCell ref="Q29:U29"/>
    <mergeCell ref="V29:Z29"/>
    <mergeCell ref="AZ38:BK40"/>
    <mergeCell ref="C39:H39"/>
    <mergeCell ref="I39:K39"/>
    <mergeCell ref="L39:U39"/>
    <mergeCell ref="V39:Z39"/>
    <mergeCell ref="AA39:AE39"/>
    <mergeCell ref="AF39:AJ39"/>
    <mergeCell ref="AK39:AO39"/>
    <mergeCell ref="AP39:AT39"/>
    <mergeCell ref="AU39:AY39"/>
    <mergeCell ref="C40:H40"/>
    <mergeCell ref="I40:K40"/>
    <mergeCell ref="L40:U40"/>
    <mergeCell ref="V40:Z40"/>
    <mergeCell ref="AA40:AE40"/>
    <mergeCell ref="AF40:AJ40"/>
    <mergeCell ref="AK40:AO40"/>
    <mergeCell ref="AP40:AT40"/>
    <mergeCell ref="AU40:AY40"/>
    <mergeCell ref="AU37:AY37"/>
    <mergeCell ref="C38:H38"/>
    <mergeCell ref="I38:K38"/>
    <mergeCell ref="L38:P38"/>
    <mergeCell ref="Q38:U38"/>
    <mergeCell ref="V38:Z38"/>
    <mergeCell ref="AA38:AE38"/>
    <mergeCell ref="AF38:AJ38"/>
    <mergeCell ref="AK38:AO38"/>
    <mergeCell ref="AP38:AT38"/>
    <mergeCell ref="AU38:AY38"/>
    <mergeCell ref="C37:H37"/>
    <mergeCell ref="I37:K37"/>
    <mergeCell ref="L37:P37"/>
    <mergeCell ref="Q37:U37"/>
    <mergeCell ref="V37:Z37"/>
    <mergeCell ref="AA37:AE37"/>
    <mergeCell ref="AF37:AJ37"/>
    <mergeCell ref="AK37:AO37"/>
    <mergeCell ref="AP37:AT37"/>
    <mergeCell ref="C36:H36"/>
    <mergeCell ref="I36:K36"/>
    <mergeCell ref="L36:P36"/>
    <mergeCell ref="Q36:U36"/>
    <mergeCell ref="V36:Z36"/>
    <mergeCell ref="AA36:AE36"/>
    <mergeCell ref="AF36:AJ36"/>
    <mergeCell ref="AK36:AO36"/>
    <mergeCell ref="AP36:AT36"/>
    <mergeCell ref="C35:H35"/>
    <mergeCell ref="I35:K35"/>
    <mergeCell ref="L35:P35"/>
    <mergeCell ref="Q35:U35"/>
    <mergeCell ref="V35:Z35"/>
    <mergeCell ref="AA35:AE35"/>
    <mergeCell ref="AF35:AJ35"/>
    <mergeCell ref="AK35:AO35"/>
    <mergeCell ref="AP35:AT35"/>
    <mergeCell ref="C34:H34"/>
    <mergeCell ref="I34:K34"/>
    <mergeCell ref="L34:P34"/>
    <mergeCell ref="Q34:U34"/>
    <mergeCell ref="V34:Z34"/>
    <mergeCell ref="AA34:AE34"/>
    <mergeCell ref="AF34:AJ34"/>
    <mergeCell ref="AK34:AO34"/>
    <mergeCell ref="AP34:AT34"/>
    <mergeCell ref="C33:H33"/>
    <mergeCell ref="I33:K33"/>
    <mergeCell ref="L33:P33"/>
    <mergeCell ref="Q33:U33"/>
    <mergeCell ref="V33:Z33"/>
    <mergeCell ref="AA33:AE33"/>
    <mergeCell ref="C32:H32"/>
    <mergeCell ref="I32:K32"/>
    <mergeCell ref="L32:P32"/>
    <mergeCell ref="Q32:U32"/>
    <mergeCell ref="V32:Z32"/>
    <mergeCell ref="AA32:AE32"/>
    <mergeCell ref="C31:H31"/>
    <mergeCell ref="I31:K31"/>
    <mergeCell ref="L31:P31"/>
    <mergeCell ref="Q31:U31"/>
    <mergeCell ref="V31:Z31"/>
    <mergeCell ref="AA31:AE31"/>
    <mergeCell ref="V30:Z30"/>
    <mergeCell ref="AA30:AE30"/>
    <mergeCell ref="AF30:AJ30"/>
    <mergeCell ref="C30:H30"/>
    <mergeCell ref="I30:K30"/>
    <mergeCell ref="L30:P30"/>
    <mergeCell ref="Q30:U30"/>
    <mergeCell ref="AK30:AO30"/>
    <mergeCell ref="AP30:AT30"/>
    <mergeCell ref="AU30:AY30"/>
    <mergeCell ref="AA29:AE29"/>
    <mergeCell ref="AF29:AJ29"/>
    <mergeCell ref="AK29:AO29"/>
    <mergeCell ref="AP29:AT29"/>
    <mergeCell ref="AU29:AY29"/>
    <mergeCell ref="AZ29:BK37"/>
    <mergeCell ref="AF31:AJ31"/>
    <mergeCell ref="AK31:AO31"/>
    <mergeCell ref="AP31:AT31"/>
    <mergeCell ref="AU31:AY31"/>
    <mergeCell ref="AF32:AJ32"/>
    <mergeCell ref="AK32:AO32"/>
    <mergeCell ref="AP32:AT32"/>
    <mergeCell ref="AU32:AY32"/>
    <mergeCell ref="AF33:AJ33"/>
    <mergeCell ref="AK33:AO33"/>
    <mergeCell ref="AP33:AT33"/>
    <mergeCell ref="AU33:AY33"/>
    <mergeCell ref="AU34:AY34"/>
    <mergeCell ref="AU35:AY35"/>
    <mergeCell ref="AU36:AY36"/>
    <mergeCell ref="AU24:AY24"/>
    <mergeCell ref="AZ24:BK25"/>
    <mergeCell ref="C25:H25"/>
    <mergeCell ref="I25:K25"/>
    <mergeCell ref="L25:U25"/>
    <mergeCell ref="V25:Z25"/>
    <mergeCell ref="AA25:AE25"/>
    <mergeCell ref="AA28:AE28"/>
    <mergeCell ref="AF28:AJ28"/>
    <mergeCell ref="AK28:AO28"/>
    <mergeCell ref="AP28:AT28"/>
    <mergeCell ref="AU28:AY28"/>
    <mergeCell ref="AZ28:BK28"/>
    <mergeCell ref="AF25:AJ25"/>
    <mergeCell ref="AK25:AO25"/>
    <mergeCell ref="AP25:AT25"/>
    <mergeCell ref="AU25:AY25"/>
    <mergeCell ref="B27:BK27"/>
    <mergeCell ref="B28:H28"/>
    <mergeCell ref="I28:K28"/>
    <mergeCell ref="L28:P28"/>
    <mergeCell ref="Q28:U28"/>
    <mergeCell ref="V28:Z28"/>
    <mergeCell ref="B24:B25"/>
    <mergeCell ref="C24:H24"/>
    <mergeCell ref="I24:K24"/>
    <mergeCell ref="L24:U24"/>
    <mergeCell ref="V24:Z24"/>
    <mergeCell ref="AA24:AE24"/>
    <mergeCell ref="AF24:AJ24"/>
    <mergeCell ref="AK24:AO24"/>
    <mergeCell ref="AP24:AT24"/>
    <mergeCell ref="AZ21:BK23"/>
    <mergeCell ref="C22:H22"/>
    <mergeCell ref="I22:K22"/>
    <mergeCell ref="L22:P22"/>
    <mergeCell ref="Q22:U22"/>
    <mergeCell ref="V22:Z22"/>
    <mergeCell ref="AA22:AE22"/>
    <mergeCell ref="AF22:AJ22"/>
    <mergeCell ref="AK22:AO22"/>
    <mergeCell ref="AP22:AT22"/>
    <mergeCell ref="AU22:AY22"/>
    <mergeCell ref="C23:H23"/>
    <mergeCell ref="I23:K23"/>
    <mergeCell ref="L23:P23"/>
    <mergeCell ref="Q23:U23"/>
    <mergeCell ref="V23:Z23"/>
    <mergeCell ref="AA23:AE23"/>
    <mergeCell ref="AF23:AJ23"/>
    <mergeCell ref="AK23:AO23"/>
    <mergeCell ref="AP23:AT23"/>
    <mergeCell ref="AU23:AY23"/>
    <mergeCell ref="C21:H21"/>
    <mergeCell ref="I21:K21"/>
    <mergeCell ref="L21:U21"/>
    <mergeCell ref="V21:Z21"/>
    <mergeCell ref="AA21:AE21"/>
    <mergeCell ref="AF21:AJ21"/>
    <mergeCell ref="AK21:AO21"/>
    <mergeCell ref="AP21:AT21"/>
    <mergeCell ref="AU21:AY21"/>
    <mergeCell ref="AU19:AY19"/>
    <mergeCell ref="C20:H20"/>
    <mergeCell ref="I20:K20"/>
    <mergeCell ref="L20:P20"/>
    <mergeCell ref="Q20:U20"/>
    <mergeCell ref="V20:Z20"/>
    <mergeCell ref="AA20:AE20"/>
    <mergeCell ref="AF20:AJ20"/>
    <mergeCell ref="AK20:AO20"/>
    <mergeCell ref="AP20:AT20"/>
    <mergeCell ref="AU20:AY20"/>
    <mergeCell ref="C19:H19"/>
    <mergeCell ref="I19:K19"/>
    <mergeCell ref="L19:P19"/>
    <mergeCell ref="Q19:U19"/>
    <mergeCell ref="V19:Z19"/>
    <mergeCell ref="AA19:AE19"/>
    <mergeCell ref="AF19:AJ19"/>
    <mergeCell ref="AK19:AO19"/>
    <mergeCell ref="AP19:AT19"/>
    <mergeCell ref="AU17:AY17"/>
    <mergeCell ref="C18:H18"/>
    <mergeCell ref="I18:K18"/>
    <mergeCell ref="L18:P18"/>
    <mergeCell ref="Q18:U18"/>
    <mergeCell ref="V18:Z18"/>
    <mergeCell ref="AA18:AE18"/>
    <mergeCell ref="AF18:AJ18"/>
    <mergeCell ref="AK18:AO18"/>
    <mergeCell ref="AP18:AT18"/>
    <mergeCell ref="AU18:AY18"/>
    <mergeCell ref="AU15:AY15"/>
    <mergeCell ref="C16:H16"/>
    <mergeCell ref="I16:K16"/>
    <mergeCell ref="L16:P16"/>
    <mergeCell ref="Q16:U16"/>
    <mergeCell ref="V16:Z16"/>
    <mergeCell ref="AA16:AE16"/>
    <mergeCell ref="AF16:AJ16"/>
    <mergeCell ref="AK16:AO16"/>
    <mergeCell ref="AP16:AT16"/>
    <mergeCell ref="AU16:AY16"/>
    <mergeCell ref="BO12:BQ12"/>
    <mergeCell ref="C13:H13"/>
    <mergeCell ref="I13:K13"/>
    <mergeCell ref="L13:P13"/>
    <mergeCell ref="Q13:U13"/>
    <mergeCell ref="V13:Z13"/>
    <mergeCell ref="AA13:AE13"/>
    <mergeCell ref="AF13:AJ13"/>
    <mergeCell ref="AK13:AO13"/>
    <mergeCell ref="AP13:AT13"/>
    <mergeCell ref="AU13:AY13"/>
    <mergeCell ref="AU11:AY11"/>
    <mergeCell ref="AZ11:BK20"/>
    <mergeCell ref="C12:H12"/>
    <mergeCell ref="I12:K12"/>
    <mergeCell ref="L12:U12"/>
    <mergeCell ref="V12:Z12"/>
    <mergeCell ref="AA12:AE12"/>
    <mergeCell ref="AF12:AJ12"/>
    <mergeCell ref="AK12:AO12"/>
    <mergeCell ref="AP12:AT12"/>
    <mergeCell ref="AU12:AY12"/>
    <mergeCell ref="C14:H14"/>
    <mergeCell ref="I14:K14"/>
    <mergeCell ref="L14:P14"/>
    <mergeCell ref="Q14:U14"/>
    <mergeCell ref="V14:Z14"/>
    <mergeCell ref="AA14:AE14"/>
    <mergeCell ref="AF14:AJ14"/>
    <mergeCell ref="AK14:AO14"/>
    <mergeCell ref="AP14:AT14"/>
    <mergeCell ref="AU14:AY14"/>
    <mergeCell ref="C15:H15"/>
    <mergeCell ref="I15:K15"/>
    <mergeCell ref="L15:P15"/>
    <mergeCell ref="B11:B23"/>
    <mergeCell ref="C11:H11"/>
    <mergeCell ref="I11:K11"/>
    <mergeCell ref="L11:U11"/>
    <mergeCell ref="V11:Z11"/>
    <mergeCell ref="AA11:AE11"/>
    <mergeCell ref="AF11:AJ11"/>
    <mergeCell ref="AK11:AO11"/>
    <mergeCell ref="AP11:AT11"/>
    <mergeCell ref="Q15:U15"/>
    <mergeCell ref="V15:Z15"/>
    <mergeCell ref="AA15:AE15"/>
    <mergeCell ref="AF15:AJ15"/>
    <mergeCell ref="AK15:AO15"/>
    <mergeCell ref="AP15:AT15"/>
    <mergeCell ref="C17:H17"/>
    <mergeCell ref="I17:K17"/>
    <mergeCell ref="L17:P17"/>
    <mergeCell ref="Q17:U17"/>
    <mergeCell ref="V17:Z17"/>
    <mergeCell ref="AA17:AE17"/>
    <mergeCell ref="AF17:AJ17"/>
    <mergeCell ref="AK17:AO17"/>
    <mergeCell ref="AP17:AT17"/>
    <mergeCell ref="B4:D4"/>
    <mergeCell ref="B6:D6"/>
    <mergeCell ref="B9:BK9"/>
    <mergeCell ref="B10:H10"/>
    <mergeCell ref="I10:K10"/>
    <mergeCell ref="L10:U10"/>
    <mergeCell ref="V10:Z10"/>
    <mergeCell ref="AA10:AE10"/>
    <mergeCell ref="AF10:AJ10"/>
    <mergeCell ref="AK10:AO10"/>
    <mergeCell ref="AP10:AT10"/>
    <mergeCell ref="AU10:AY10"/>
    <mergeCell ref="AZ10:BK10"/>
  </mergeCells>
  <phoneticPr fontId="2"/>
  <conditionalFormatting sqref="E45:L45 E48:L48">
    <cfRule type="cellIs" dxfId="12" priority="7" operator="equal">
      <formula>"適応条件を満たさない、対応が必要。"</formula>
    </cfRule>
    <cfRule type="cellIs" dxfId="11" priority="8" operator="equal">
      <formula>"適用条件を満たす。"</formula>
    </cfRule>
  </conditionalFormatting>
  <conditionalFormatting sqref="E48:L48 E45:L45">
    <cfRule type="cellIs" dxfId="10" priority="6" operator="equal">
      <formula>"適応条件を満たさない、対応が必要。"</formula>
    </cfRule>
  </conditionalFormatting>
  <conditionalFormatting sqref="E48:L48">
    <cfRule type="cellIs" dxfId="9" priority="5" operator="equal">
      <formula>"適用条件を満たさない、対応が必要。"</formula>
    </cfRule>
  </conditionalFormatting>
  <conditionalFormatting sqref="O44:AB45">
    <cfRule type="cellIs" dxfId="8" priority="1" operator="equal">
      <formula>"投入バイオマス濃度の調整等の対応が必要。"</formula>
    </cfRule>
    <cfRule type="cellIs" dxfId="7" priority="3" operator="equal">
      <formula>"投入バイオマス濃度の調整等の対応が必要。"</formula>
    </cfRule>
    <cfRule type="cellIs" dxfId="6" priority="4" operator="equal">
      <formula>"投入バイオマス濃度の調整等の対応が必要。"</formula>
    </cfRule>
  </conditionalFormatting>
  <conditionalFormatting sqref="O47:AB48">
    <cfRule type="cellIs" dxfId="5" priority="2" operator="equal">
      <formula>"投入バイオマス濃度の調整・滞留時間の確保等の対応が必要。"</formula>
    </cfRule>
  </conditionalFormatting>
  <dataValidations count="1">
    <dataValidation type="list" allowBlank="1" showInputMessage="1" showErrorMessage="1" sqref="E93:I94 E98">
      <formula1>"〇,×"</formula1>
    </dataValidation>
  </dataValidations>
  <pageMargins left="0.7" right="0.7" top="0.75" bottom="0.75" header="0.3" footer="0.3"/>
  <pageSetup paperSize="9" scale="53" orientation="landscape" r:id="rId1"/>
  <colBreaks count="1" manualBreakCount="1">
    <brk id="64"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2:CV76"/>
  <sheetViews>
    <sheetView showGridLines="0" workbookViewId="0"/>
  </sheetViews>
  <sheetFormatPr defaultRowHeight="13.5"/>
  <cols>
    <col min="1" max="39" width="4.125" customWidth="1"/>
    <col min="40" max="40" width="10.625" customWidth="1"/>
    <col min="41" max="41" width="19.375" customWidth="1"/>
    <col min="42" max="42" width="7.125" customWidth="1"/>
    <col min="43" max="43" width="13" customWidth="1"/>
    <col min="44" max="44" width="23.5" bestFit="1" customWidth="1"/>
    <col min="45" max="179" width="4.125" customWidth="1"/>
  </cols>
  <sheetData>
    <row r="2" spans="2:100">
      <c r="B2" t="s">
        <v>713</v>
      </c>
    </row>
    <row r="3" spans="2:100" ht="14.25" thickBot="1"/>
    <row r="4" spans="2:100" ht="14.25" thickBot="1">
      <c r="B4" t="s">
        <v>710</v>
      </c>
      <c r="AO4" s="1196" t="s">
        <v>569</v>
      </c>
      <c r="AP4" s="1197"/>
      <c r="AQ4" s="1197"/>
      <c r="AR4" s="1198"/>
      <c r="AT4" s="1196" t="s">
        <v>545</v>
      </c>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8"/>
    </row>
    <row r="5" spans="2:100">
      <c r="B5" s="1089" t="s">
        <v>350</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1"/>
      <c r="AO5" s="1092" t="s">
        <v>504</v>
      </c>
      <c r="AP5" s="1093"/>
      <c r="AQ5" s="572" t="s">
        <v>350</v>
      </c>
      <c r="AR5" s="573" t="s">
        <v>721</v>
      </c>
      <c r="AT5" s="1010" t="s">
        <v>23</v>
      </c>
      <c r="AU5" s="1011"/>
      <c r="AV5" s="1011"/>
      <c r="AW5" s="1011"/>
      <c r="AX5" s="1011"/>
      <c r="AY5" s="1011"/>
      <c r="AZ5" s="1011"/>
      <c r="BA5" s="1011" t="s">
        <v>24</v>
      </c>
      <c r="BB5" s="1011"/>
      <c r="BC5" s="1011"/>
      <c r="BD5" s="1011" t="s">
        <v>459</v>
      </c>
      <c r="BE5" s="1011"/>
      <c r="BF5" s="1011"/>
      <c r="BG5" s="1011"/>
      <c r="BH5" s="1011"/>
      <c r="BI5" s="1011"/>
      <c r="BJ5" s="1011"/>
      <c r="BK5" s="1011"/>
      <c r="BL5" s="1011"/>
      <c r="BM5" s="1011"/>
      <c r="BN5" s="1011" t="s">
        <v>114</v>
      </c>
      <c r="BO5" s="1011"/>
      <c r="BP5" s="1011"/>
      <c r="BQ5" s="1011"/>
      <c r="BR5" s="1011"/>
      <c r="BS5" s="1011" t="s">
        <v>115</v>
      </c>
      <c r="BT5" s="1011"/>
      <c r="BU5" s="1011"/>
      <c r="BV5" s="1011"/>
      <c r="BW5" s="1011"/>
      <c r="BX5" s="1011" t="s">
        <v>116</v>
      </c>
      <c r="BY5" s="1011"/>
      <c r="BZ5" s="1011"/>
      <c r="CA5" s="1011"/>
      <c r="CB5" s="1011"/>
      <c r="CC5" s="1011" t="s">
        <v>117</v>
      </c>
      <c r="CD5" s="1011"/>
      <c r="CE5" s="1011"/>
      <c r="CF5" s="1011"/>
      <c r="CG5" s="1011"/>
      <c r="CH5" s="1011" t="s">
        <v>319</v>
      </c>
      <c r="CI5" s="1011"/>
      <c r="CJ5" s="1011"/>
      <c r="CK5" s="1011"/>
      <c r="CL5" s="1011"/>
      <c r="CM5" s="1011" t="s">
        <v>320</v>
      </c>
      <c r="CN5" s="1011"/>
      <c r="CO5" s="1011"/>
      <c r="CP5" s="1011"/>
      <c r="CQ5" s="1011"/>
      <c r="CR5" s="1011"/>
      <c r="CS5" s="1011"/>
      <c r="CT5" s="1011"/>
      <c r="CU5" s="1011"/>
      <c r="CV5" s="1020"/>
    </row>
    <row r="6" spans="2:100">
      <c r="B6" s="1094"/>
      <c r="C6" s="1131" t="s">
        <v>488</v>
      </c>
      <c r="D6" s="1132"/>
      <c r="E6" s="1132"/>
      <c r="F6" s="1132"/>
      <c r="G6" s="1132"/>
      <c r="H6" s="1133"/>
      <c r="I6" s="159"/>
      <c r="J6" s="1101" t="s">
        <v>344</v>
      </c>
      <c r="K6" s="1102"/>
      <c r="L6" s="1102"/>
      <c r="M6" s="1102"/>
      <c r="N6" s="1102"/>
      <c r="O6" s="1101" t="s">
        <v>194</v>
      </c>
      <c r="P6" s="1102"/>
      <c r="Q6" s="1102"/>
      <c r="R6" s="1102"/>
      <c r="S6" s="1102"/>
      <c r="T6" s="1101" t="s">
        <v>345</v>
      </c>
      <c r="U6" s="1102"/>
      <c r="V6" s="1102"/>
      <c r="W6" s="1102"/>
      <c r="X6" s="1102"/>
      <c r="Y6" s="1101" t="s">
        <v>342</v>
      </c>
      <c r="Z6" s="1102"/>
      <c r="AA6" s="1102"/>
      <c r="AB6" s="1102"/>
      <c r="AC6" s="1102"/>
      <c r="AD6" s="1101" t="s">
        <v>39</v>
      </c>
      <c r="AE6" s="1102"/>
      <c r="AF6" s="1102"/>
      <c r="AG6" s="1102"/>
      <c r="AH6" s="1120"/>
      <c r="AI6" s="1101" t="s">
        <v>447</v>
      </c>
      <c r="AJ6" s="1102"/>
      <c r="AK6" s="1102"/>
      <c r="AL6" s="1121"/>
      <c r="AO6" s="1122" t="s">
        <v>46</v>
      </c>
      <c r="AP6" s="2" t="s">
        <v>505</v>
      </c>
      <c r="AQ6" s="284">
        <f>AD10</f>
        <v>0</v>
      </c>
      <c r="AR6" s="329">
        <f>AD23</f>
        <v>0</v>
      </c>
      <c r="AT6" s="1124" t="s">
        <v>533</v>
      </c>
      <c r="AU6" s="922" t="s">
        <v>275</v>
      </c>
      <c r="AV6" s="922"/>
      <c r="AW6" s="922"/>
      <c r="AX6" s="922"/>
      <c r="AY6" s="922"/>
      <c r="AZ6" s="922"/>
      <c r="BA6" s="922"/>
      <c r="BB6" s="922"/>
      <c r="BC6" s="922"/>
      <c r="BD6" s="922">
        <f>+⑤基本情報入力!$L$11</f>
        <v>0</v>
      </c>
      <c r="BE6" s="922"/>
      <c r="BF6" s="922"/>
      <c r="BG6" s="922"/>
      <c r="BH6" s="922"/>
      <c r="BI6" s="922"/>
      <c r="BJ6" s="922"/>
      <c r="BK6" s="922"/>
      <c r="BL6" s="922"/>
      <c r="BM6" s="922"/>
      <c r="BN6" s="922">
        <f>+⑤基本情報入力!$V$11</f>
        <v>0</v>
      </c>
      <c r="BO6" s="922"/>
      <c r="BP6" s="922"/>
      <c r="BQ6" s="922"/>
      <c r="BR6" s="922"/>
      <c r="BS6" s="922">
        <f>+⑤基本情報入力!$AA$11</f>
        <v>0</v>
      </c>
      <c r="BT6" s="922"/>
      <c r="BU6" s="922"/>
      <c r="BV6" s="922"/>
      <c r="BW6" s="922"/>
      <c r="BX6" s="922">
        <f>+⑤基本情報入力!$AF$11</f>
        <v>0</v>
      </c>
      <c r="BY6" s="922"/>
      <c r="BZ6" s="922"/>
      <c r="CA6" s="922"/>
      <c r="CB6" s="922"/>
      <c r="CC6" s="922">
        <f>+⑤基本情報入力!$AK$11</f>
        <v>0</v>
      </c>
      <c r="CD6" s="922"/>
      <c r="CE6" s="922"/>
      <c r="CF6" s="922"/>
      <c r="CG6" s="922"/>
      <c r="CH6" s="922">
        <f>+⑤基本情報入力!$AP$11</f>
        <v>0</v>
      </c>
      <c r="CI6" s="922"/>
      <c r="CJ6" s="922"/>
      <c r="CK6" s="922"/>
      <c r="CL6" s="922"/>
      <c r="CM6" s="922">
        <f>+⑤基本情報入力!$AU$11</f>
        <v>0</v>
      </c>
      <c r="CN6" s="922"/>
      <c r="CO6" s="922"/>
      <c r="CP6" s="922"/>
      <c r="CQ6" s="922"/>
      <c r="CR6" s="922" t="s">
        <v>39</v>
      </c>
      <c r="CS6" s="922"/>
      <c r="CT6" s="922"/>
      <c r="CU6" s="922"/>
      <c r="CV6" s="1061"/>
    </row>
    <row r="7" spans="2:100" ht="13.5" customHeight="1">
      <c r="B7" s="1094"/>
      <c r="C7" s="160"/>
      <c r="D7" s="1112" t="s">
        <v>346</v>
      </c>
      <c r="E7" s="1113"/>
      <c r="F7" s="1114"/>
      <c r="G7" s="1096" t="s">
        <v>347</v>
      </c>
      <c r="H7" s="1098"/>
      <c r="I7" s="161"/>
      <c r="J7" s="1099">
        <f>CR25</f>
        <v>0</v>
      </c>
      <c r="K7" s="1100"/>
      <c r="L7" s="1100"/>
      <c r="M7" s="361"/>
      <c r="N7" s="256"/>
      <c r="O7" s="1099">
        <f>BS32</f>
        <v>0</v>
      </c>
      <c r="P7" s="1100"/>
      <c r="Q7" s="1100"/>
      <c r="R7" s="361"/>
      <c r="S7" s="256"/>
      <c r="T7" s="1099">
        <f>+'事業費（既存）'!H263</f>
        <v>0</v>
      </c>
      <c r="U7" s="1100"/>
      <c r="V7" s="1100"/>
      <c r="W7" s="361"/>
      <c r="X7" s="256"/>
      <c r="Y7" s="1099">
        <f>+'事業費（既存）'!I263</f>
        <v>0</v>
      </c>
      <c r="Z7" s="1100"/>
      <c r="AA7" s="1100"/>
      <c r="AB7" s="361"/>
      <c r="AC7" s="256"/>
      <c r="AD7" s="1099">
        <f>+SUM(J7,O7,T7,Y7)</f>
        <v>0</v>
      </c>
      <c r="AE7" s="1100"/>
      <c r="AF7" s="1100"/>
      <c r="AG7" s="361"/>
      <c r="AH7" s="256"/>
      <c r="AI7" s="1118">
        <v>100</v>
      </c>
      <c r="AJ7" s="1119"/>
      <c r="AK7" s="1119"/>
      <c r="AL7" s="269"/>
      <c r="AO7" s="1123"/>
      <c r="AP7" s="2" t="s">
        <v>348</v>
      </c>
      <c r="AQ7" s="284">
        <f>J10*0.45+O10+T10+Y10</f>
        <v>0</v>
      </c>
      <c r="AR7" s="331">
        <f>J23*0.45+O23+T23+Y23</f>
        <v>0</v>
      </c>
      <c r="AT7" s="1124"/>
      <c r="AU7" s="909" t="s">
        <v>458</v>
      </c>
      <c r="AV7" s="909"/>
      <c r="AW7" s="909"/>
      <c r="AX7" s="909"/>
      <c r="AY7" s="909"/>
      <c r="AZ7" s="909"/>
      <c r="BA7" s="922" t="s">
        <v>217</v>
      </c>
      <c r="BB7" s="922"/>
      <c r="BC7" s="922"/>
      <c r="BD7" s="1043">
        <f>+⑤基本情報入力!$L$12</f>
        <v>0</v>
      </c>
      <c r="BE7" s="1043"/>
      <c r="BF7" s="1043"/>
      <c r="BG7" s="1043"/>
      <c r="BH7" s="1043"/>
      <c r="BI7" s="1043"/>
      <c r="BJ7" s="1043"/>
      <c r="BK7" s="1043"/>
      <c r="BL7" s="1043"/>
      <c r="BM7" s="1043"/>
      <c r="BN7" s="1043">
        <f>+⑤基本情報入力!$V$12</f>
        <v>0</v>
      </c>
      <c r="BO7" s="1043"/>
      <c r="BP7" s="1043"/>
      <c r="BQ7" s="1043"/>
      <c r="BR7" s="1043"/>
      <c r="BS7" s="1043">
        <f>+⑤基本情報入力!$AA$12</f>
        <v>0</v>
      </c>
      <c r="BT7" s="1043"/>
      <c r="BU7" s="1043"/>
      <c r="BV7" s="1043"/>
      <c r="BW7" s="1043"/>
      <c r="BX7" s="1043">
        <f>+⑤基本情報入力!$AF$12</f>
        <v>0</v>
      </c>
      <c r="BY7" s="1043"/>
      <c r="BZ7" s="1043"/>
      <c r="CA7" s="1043"/>
      <c r="CB7" s="1043"/>
      <c r="CC7" s="1043">
        <f>+⑤基本情報入力!$AK$12</f>
        <v>0</v>
      </c>
      <c r="CD7" s="1043"/>
      <c r="CE7" s="1043"/>
      <c r="CF7" s="1043"/>
      <c r="CG7" s="1043"/>
      <c r="CH7" s="1043">
        <f>+⑤基本情報入力!$AP$12</f>
        <v>0</v>
      </c>
      <c r="CI7" s="1043"/>
      <c r="CJ7" s="1043"/>
      <c r="CK7" s="1043"/>
      <c r="CL7" s="1043"/>
      <c r="CM7" s="1043">
        <f>+⑤基本情報入力!$AU$12</f>
        <v>0</v>
      </c>
      <c r="CN7" s="1043"/>
      <c r="CO7" s="1043"/>
      <c r="CP7" s="1043"/>
      <c r="CQ7" s="1043"/>
      <c r="CR7" s="1043" t="s">
        <v>217</v>
      </c>
      <c r="CS7" s="1043"/>
      <c r="CT7" s="1043"/>
      <c r="CU7" s="1043"/>
      <c r="CV7" s="1136"/>
    </row>
    <row r="8" spans="2:100">
      <c r="B8" s="1094"/>
      <c r="C8" s="162"/>
      <c r="D8" s="1115"/>
      <c r="E8" s="1116"/>
      <c r="F8" s="1117"/>
      <c r="G8" s="1137" t="s">
        <v>348</v>
      </c>
      <c r="H8" s="1138"/>
      <c r="I8" s="163"/>
      <c r="J8" s="1139">
        <f>+ROUND(J7*0.45,0)</f>
        <v>0</v>
      </c>
      <c r="K8" s="1140"/>
      <c r="L8" s="1140"/>
      <c r="M8" s="362"/>
      <c r="N8" s="257"/>
      <c r="O8" s="1139">
        <f>+ROUND(O7*0.67,0)</f>
        <v>0</v>
      </c>
      <c r="P8" s="1140"/>
      <c r="Q8" s="1140"/>
      <c r="R8" s="362"/>
      <c r="S8" s="257"/>
      <c r="T8" s="1139">
        <f>+ROUND(T7*0.67,0)</f>
        <v>0</v>
      </c>
      <c r="U8" s="1140"/>
      <c r="V8" s="1140"/>
      <c r="W8" s="362"/>
      <c r="X8" s="257"/>
      <c r="Y8" s="1139">
        <f>+ROUND(Y7*0.67,0)</f>
        <v>0</v>
      </c>
      <c r="Z8" s="1140"/>
      <c r="AA8" s="1140"/>
      <c r="AB8" s="362"/>
      <c r="AC8" s="257"/>
      <c r="AD8" s="1099">
        <f>+SUM(J8,O8,T8,Y8)</f>
        <v>0</v>
      </c>
      <c r="AE8" s="1100"/>
      <c r="AF8" s="1100"/>
      <c r="AG8" s="362"/>
      <c r="AH8" s="257"/>
      <c r="AI8" s="1118">
        <v>100</v>
      </c>
      <c r="AJ8" s="1119"/>
      <c r="AK8" s="1119"/>
      <c r="AL8" s="269"/>
      <c r="AO8" s="1129" t="s">
        <v>17</v>
      </c>
      <c r="AP8" s="1130"/>
      <c r="AQ8" s="284">
        <f>+AD11</f>
        <v>0</v>
      </c>
      <c r="AR8" s="329">
        <f>AD24</f>
        <v>0</v>
      </c>
      <c r="AT8" s="1124"/>
      <c r="AU8" s="909" t="s">
        <v>534</v>
      </c>
      <c r="AV8" s="909"/>
      <c r="AW8" s="909"/>
      <c r="AX8" s="909"/>
      <c r="AY8" s="909"/>
      <c r="AZ8" s="909"/>
      <c r="BA8" s="909" t="s">
        <v>120</v>
      </c>
      <c r="BB8" s="909"/>
      <c r="BC8" s="909"/>
      <c r="BD8" s="1111" t="str">
        <f>IF(⑤基本情報入力!$L$24="","",⑤基本情報入力!$L$24)</f>
        <v/>
      </c>
      <c r="BE8" s="1111"/>
      <c r="BF8" s="1111"/>
      <c r="BG8" s="1111"/>
      <c r="BH8" s="1111"/>
      <c r="BI8" s="1111"/>
      <c r="BJ8" s="1111"/>
      <c r="BK8" s="1111"/>
      <c r="BL8" s="1111"/>
      <c r="BM8" s="1111"/>
      <c r="BN8" s="1111" t="str">
        <f>IF(⑤基本情報入力!V24="","",⑤基本情報入力!V24)</f>
        <v/>
      </c>
      <c r="BO8" s="1111"/>
      <c r="BP8" s="1111"/>
      <c r="BQ8" s="1111"/>
      <c r="BR8" s="1111"/>
      <c r="BS8" s="1111" t="str">
        <f>IF(⑤基本情報入力!AA24="","",⑤基本情報入力!AA24)</f>
        <v/>
      </c>
      <c r="BT8" s="1111"/>
      <c r="BU8" s="1111"/>
      <c r="BV8" s="1111"/>
      <c r="BW8" s="1111"/>
      <c r="BX8" s="1111" t="str">
        <f>IF(⑤基本情報入力!AF24="","",⑤基本情報入力!AF24)</f>
        <v/>
      </c>
      <c r="BY8" s="1111"/>
      <c r="BZ8" s="1111"/>
      <c r="CA8" s="1111"/>
      <c r="CB8" s="1111"/>
      <c r="CC8" s="1111" t="str">
        <f>IF(⑤基本情報入力!AK24="","",⑤基本情報入力!AK24)</f>
        <v/>
      </c>
      <c r="CD8" s="1111"/>
      <c r="CE8" s="1111"/>
      <c r="CF8" s="1111"/>
      <c r="CG8" s="1111"/>
      <c r="CH8" s="1111" t="str">
        <f>IF(⑤基本情報入力!AP24="","",⑤基本情報入力!AP24)</f>
        <v/>
      </c>
      <c r="CI8" s="1111"/>
      <c r="CJ8" s="1111"/>
      <c r="CK8" s="1111"/>
      <c r="CL8" s="1111"/>
      <c r="CM8" s="1111" t="str">
        <f>IF(⑤基本情報入力!AU24="","",⑤基本情報入力!AU24)</f>
        <v/>
      </c>
      <c r="CN8" s="1111"/>
      <c r="CO8" s="1111"/>
      <c r="CP8" s="1111"/>
      <c r="CQ8" s="1111"/>
      <c r="CR8" s="1111">
        <v>0</v>
      </c>
      <c r="CS8" s="1111"/>
      <c r="CT8" s="1111"/>
      <c r="CU8" s="1111"/>
      <c r="CV8" s="1141"/>
    </row>
    <row r="9" spans="2:100">
      <c r="B9" s="1094"/>
      <c r="C9" s="1131" t="s">
        <v>489</v>
      </c>
      <c r="D9" s="1132"/>
      <c r="E9" s="1132"/>
      <c r="F9" s="1132"/>
      <c r="G9" s="1132"/>
      <c r="H9" s="1133"/>
      <c r="I9" s="164"/>
      <c r="J9" s="1101" t="s">
        <v>344</v>
      </c>
      <c r="K9" s="1102"/>
      <c r="L9" s="1102"/>
      <c r="M9" s="1102"/>
      <c r="N9" s="1102"/>
      <c r="O9" s="1101" t="s">
        <v>194</v>
      </c>
      <c r="P9" s="1102"/>
      <c r="Q9" s="1102"/>
      <c r="R9" s="1102"/>
      <c r="S9" s="1102"/>
      <c r="T9" s="1101" t="s">
        <v>19</v>
      </c>
      <c r="U9" s="1102"/>
      <c r="V9" s="1102"/>
      <c r="W9" s="1102"/>
      <c r="X9" s="1102"/>
      <c r="Y9" s="1101" t="s">
        <v>342</v>
      </c>
      <c r="Z9" s="1102"/>
      <c r="AA9" s="1102"/>
      <c r="AB9" s="1102"/>
      <c r="AC9" s="1102"/>
      <c r="AD9" s="1101" t="s">
        <v>39</v>
      </c>
      <c r="AE9" s="1102"/>
      <c r="AF9" s="1102"/>
      <c r="AG9" s="1102"/>
      <c r="AH9" s="1120"/>
      <c r="AI9" s="1126" t="s">
        <v>447</v>
      </c>
      <c r="AJ9" s="1127"/>
      <c r="AK9" s="1127"/>
      <c r="AL9" s="1128"/>
      <c r="AO9" s="1129" t="s">
        <v>207</v>
      </c>
      <c r="AP9" s="1130"/>
      <c r="AQ9" s="284">
        <f>+AD12</f>
        <v>0</v>
      </c>
      <c r="AR9" s="329">
        <f>AD25</f>
        <v>0</v>
      </c>
      <c r="AT9" s="1124"/>
      <c r="AU9" s="909" t="s">
        <v>543</v>
      </c>
      <c r="AV9" s="909"/>
      <c r="AW9" s="909"/>
      <c r="AX9" s="909"/>
      <c r="AY9" s="909"/>
      <c r="AZ9" s="909"/>
      <c r="BA9" s="909" t="s">
        <v>124</v>
      </c>
      <c r="BB9" s="909"/>
      <c r="BC9" s="909"/>
      <c r="BD9" s="1111" t="str">
        <f>IF(BD8="","",BD8*(1-⑤基本情報入力!$Y$61)*(⑤基本情報入力!$AB$61+⑤基本情報入力!$AB$61/((⑤基本情報入力!$AB$61+1)^⑤基本情報入力!$AE$61-1)))</f>
        <v/>
      </c>
      <c r="BE9" s="1111"/>
      <c r="BF9" s="1111"/>
      <c r="BG9" s="1111"/>
      <c r="BH9" s="1111"/>
      <c r="BI9" s="1111"/>
      <c r="BJ9" s="1111"/>
      <c r="BK9" s="1111"/>
      <c r="BL9" s="1111"/>
      <c r="BM9" s="1111"/>
      <c r="BN9" s="1111" t="str">
        <f>IF(BN8="","",BN8*(1-⑤基本情報入力!$Y$61)*(⑤基本情報入力!$AB$61+⑤基本情報入力!$AB$61/((⑤基本情報入力!$AB$61+1)^⑤基本情報入力!$AE$61-1)))</f>
        <v/>
      </c>
      <c r="BO9" s="1111"/>
      <c r="BP9" s="1111"/>
      <c r="BQ9" s="1111"/>
      <c r="BR9" s="1111"/>
      <c r="BS9" s="1111" t="str">
        <f>IF(BS8="","",BS8*(1-⑤基本情報入力!$Y$61)*(⑤基本情報入力!$AB$61+⑤基本情報入力!$AB$61/((⑤基本情報入力!$AB$61+1)^⑤基本情報入力!$AE$61-1)))</f>
        <v/>
      </c>
      <c r="BT9" s="1111"/>
      <c r="BU9" s="1111"/>
      <c r="BV9" s="1111"/>
      <c r="BW9" s="1111"/>
      <c r="BX9" s="1111" t="str">
        <f>IF(BX8="","",BX8*(1-⑤基本情報入力!$Y$61)*(⑤基本情報入力!$AB$61+⑤基本情報入力!$AB$61/((⑤基本情報入力!$AB$61+1)^⑤基本情報入力!$AE$61-1)))</f>
        <v/>
      </c>
      <c r="BY9" s="1111"/>
      <c r="BZ9" s="1111"/>
      <c r="CA9" s="1111"/>
      <c r="CB9" s="1111"/>
      <c r="CC9" s="1111" t="str">
        <f>IF(CC8="","",CC8*(1-⑤基本情報入力!$Y$61)*(⑤基本情報入力!$AB$61+⑤基本情報入力!$AB$61/((⑤基本情報入力!$AB$61+1)^⑤基本情報入力!$AE$61-1)))</f>
        <v/>
      </c>
      <c r="CD9" s="1111"/>
      <c r="CE9" s="1111"/>
      <c r="CF9" s="1111"/>
      <c r="CG9" s="1111"/>
      <c r="CH9" s="1111" t="str">
        <f>IF(CH8="","",CH8*(1-⑤基本情報入力!$Y$61)*(⑤基本情報入力!$AB$61+⑤基本情報入力!$AB$61/((⑤基本情報入力!$AB$61+1)^⑤基本情報入力!$AE$61-1)))</f>
        <v/>
      </c>
      <c r="CI9" s="1111"/>
      <c r="CJ9" s="1111"/>
      <c r="CK9" s="1111"/>
      <c r="CL9" s="1111"/>
      <c r="CM9" s="1111" t="str">
        <f>IF(CM8="","",CM8*(1-⑤基本情報入力!$Y$61)*(⑤基本情報入力!$AB$61+⑤基本情報入力!$AB$61/((⑤基本情報入力!$AB$61+1)^⑤基本情報入力!$AE$61-1)))</f>
        <v/>
      </c>
      <c r="CN9" s="1111"/>
      <c r="CO9" s="1111"/>
      <c r="CP9" s="1111"/>
      <c r="CQ9" s="1111"/>
      <c r="CR9" s="1111">
        <f>IF(CR8="","",CR8*(1-⑤基本情報入力!$Y$61)*(⑤基本情報入力!$AB$61+⑤基本情報入力!$AB$61/((⑤基本情報入力!$AB$61+1)^⑤基本情報入力!$AE$61-1)))</f>
        <v>0</v>
      </c>
      <c r="CS9" s="1111"/>
      <c r="CT9" s="1111"/>
      <c r="CU9" s="1111"/>
      <c r="CV9" s="1141"/>
    </row>
    <row r="10" spans="2:100" ht="14.25" thickBot="1">
      <c r="B10" s="1094"/>
      <c r="C10" s="160"/>
      <c r="D10" s="1096" t="s">
        <v>46</v>
      </c>
      <c r="E10" s="1097"/>
      <c r="F10" s="1097"/>
      <c r="G10" s="1097"/>
      <c r="H10" s="1098"/>
      <c r="I10" s="161"/>
      <c r="J10" s="1099">
        <f>CR26</f>
        <v>0</v>
      </c>
      <c r="K10" s="1100"/>
      <c r="L10" s="1100"/>
      <c r="M10" s="361"/>
      <c r="N10" s="256"/>
      <c r="O10" s="1099">
        <f>BS33</f>
        <v>0</v>
      </c>
      <c r="P10" s="1100"/>
      <c r="Q10" s="1100"/>
      <c r="R10" s="361"/>
      <c r="S10" s="256"/>
      <c r="T10" s="1099">
        <f>+'事業費（既存）'!H264</f>
        <v>0</v>
      </c>
      <c r="U10" s="1100"/>
      <c r="V10" s="1100"/>
      <c r="W10" s="361"/>
      <c r="X10" s="256"/>
      <c r="Y10" s="1099">
        <f>+'事業費（既存）'!I264</f>
        <v>0</v>
      </c>
      <c r="Z10" s="1100"/>
      <c r="AA10" s="1100"/>
      <c r="AB10" s="361"/>
      <c r="AC10" s="256"/>
      <c r="AD10" s="1099">
        <f>+SUM(J10,O10,T10,Y10)</f>
        <v>0</v>
      </c>
      <c r="AE10" s="1100"/>
      <c r="AF10" s="1100"/>
      <c r="AG10" s="361"/>
      <c r="AH10" s="256"/>
      <c r="AI10" s="1134">
        <v>100</v>
      </c>
      <c r="AJ10" s="1134"/>
      <c r="AK10" s="1134"/>
      <c r="AL10" s="269"/>
      <c r="AO10" s="1129" t="s">
        <v>123</v>
      </c>
      <c r="AP10" s="1130"/>
      <c r="AQ10" s="284">
        <f>+AD13</f>
        <v>0</v>
      </c>
      <c r="AR10" s="329">
        <f>AD26</f>
        <v>0</v>
      </c>
      <c r="AT10" s="1125"/>
      <c r="AU10" s="934" t="s">
        <v>264</v>
      </c>
      <c r="AV10" s="934"/>
      <c r="AW10" s="934"/>
      <c r="AX10" s="934"/>
      <c r="AY10" s="934"/>
      <c r="AZ10" s="934"/>
      <c r="BA10" s="934" t="s">
        <v>124</v>
      </c>
      <c r="BB10" s="934"/>
      <c r="BC10" s="934"/>
      <c r="BD10" s="1135" t="str">
        <f>IF(⑤基本情報入力!$L$25="","",⑤基本情報入力!$L$25)</f>
        <v/>
      </c>
      <c r="BE10" s="1135"/>
      <c r="BF10" s="1135"/>
      <c r="BG10" s="1135"/>
      <c r="BH10" s="1135"/>
      <c r="BI10" s="1135"/>
      <c r="BJ10" s="1135"/>
      <c r="BK10" s="1135"/>
      <c r="BL10" s="1135"/>
      <c r="BM10" s="1135"/>
      <c r="BN10" s="1135" t="str">
        <f>IF(⑤基本情報入力!$V$25=0,"",⑤基本情報入力!$V$25)</f>
        <v/>
      </c>
      <c r="BO10" s="1135"/>
      <c r="BP10" s="1135"/>
      <c r="BQ10" s="1135"/>
      <c r="BR10" s="1135"/>
      <c r="BS10" s="1135" t="str">
        <f>IF(⑤基本情報入力!$AA$25=0,"",⑤基本情報入力!$AA$25)</f>
        <v/>
      </c>
      <c r="BT10" s="1135"/>
      <c r="BU10" s="1135"/>
      <c r="BV10" s="1135"/>
      <c r="BW10" s="1135"/>
      <c r="BX10" s="1135" t="str">
        <f>IF(⑤基本情報入力!$AF$25=0,"",⑤基本情報入力!$AF$25)</f>
        <v/>
      </c>
      <c r="BY10" s="1135"/>
      <c r="BZ10" s="1135"/>
      <c r="CA10" s="1135"/>
      <c r="CB10" s="1135"/>
      <c r="CC10" s="1135" t="str">
        <f>IF(⑤基本情報入力!$AK$25=0,"",⑤基本情報入力!$AK$25)</f>
        <v/>
      </c>
      <c r="CD10" s="1135"/>
      <c r="CE10" s="1135"/>
      <c r="CF10" s="1135"/>
      <c r="CG10" s="1135"/>
      <c r="CH10" s="1135" t="str">
        <f>IF(⑤基本情報入力!$AP$25=0,"",⑤基本情報入力!$AP$25)</f>
        <v/>
      </c>
      <c r="CI10" s="1135"/>
      <c r="CJ10" s="1135"/>
      <c r="CK10" s="1135"/>
      <c r="CL10" s="1135"/>
      <c r="CM10" s="1135" t="str">
        <f>IF(⑤基本情報入力!$AU$25=0,"",⑤基本情報入力!$AU$25)</f>
        <v/>
      </c>
      <c r="CN10" s="1135"/>
      <c r="CO10" s="1135"/>
      <c r="CP10" s="1135"/>
      <c r="CQ10" s="1135"/>
      <c r="CR10" s="1135">
        <f>SUM(BD10:CQ10)</f>
        <v>0</v>
      </c>
      <c r="CS10" s="1135"/>
      <c r="CT10" s="1135"/>
      <c r="CU10" s="1135"/>
      <c r="CV10" s="1142"/>
    </row>
    <row r="11" spans="2:100" ht="14.25" thickBot="1">
      <c r="B11" s="1094"/>
      <c r="C11" s="160"/>
      <c r="D11" s="1096" t="s">
        <v>17</v>
      </c>
      <c r="E11" s="1097"/>
      <c r="F11" s="1097"/>
      <c r="G11" s="1097"/>
      <c r="H11" s="1098"/>
      <c r="I11" s="161"/>
      <c r="J11" s="1099">
        <f>CR27</f>
        <v>0</v>
      </c>
      <c r="K11" s="1100"/>
      <c r="L11" s="1100"/>
      <c r="M11" s="361"/>
      <c r="N11" s="256"/>
      <c r="O11" s="1099">
        <f>BS34</f>
        <v>0</v>
      </c>
      <c r="P11" s="1100"/>
      <c r="Q11" s="1100"/>
      <c r="R11" s="361"/>
      <c r="S11" s="256"/>
      <c r="T11" s="1099">
        <f>+'事業費（既存）'!H265</f>
        <v>0</v>
      </c>
      <c r="U11" s="1100"/>
      <c r="V11" s="1100"/>
      <c r="W11" s="361"/>
      <c r="X11" s="256"/>
      <c r="Y11" s="1099">
        <f>+'事業費（既存）'!I265</f>
        <v>0</v>
      </c>
      <c r="Z11" s="1100"/>
      <c r="AA11" s="1100"/>
      <c r="AB11" s="361"/>
      <c r="AC11" s="256"/>
      <c r="AD11" s="1099">
        <f t="shared" ref="AD11:AD13" si="0">+SUM(J11,O11,T11,Y11)</f>
        <v>0</v>
      </c>
      <c r="AE11" s="1100"/>
      <c r="AF11" s="1100"/>
      <c r="AG11" s="361"/>
      <c r="AH11" s="256"/>
      <c r="AI11" s="1134">
        <v>100</v>
      </c>
      <c r="AJ11" s="1134"/>
      <c r="AK11" s="1134"/>
      <c r="AL11" s="269"/>
      <c r="AO11" s="1122" t="s">
        <v>349</v>
      </c>
      <c r="AP11" s="2" t="s">
        <v>347</v>
      </c>
      <c r="AQ11" s="284">
        <f>+AD14</f>
        <v>0</v>
      </c>
      <c r="AR11" s="329">
        <f>AD27</f>
        <v>0</v>
      </c>
      <c r="AT11" s="434"/>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1"/>
      <c r="CS11" s="1"/>
      <c r="CT11" s="1"/>
      <c r="CU11" s="1"/>
      <c r="CV11" s="436"/>
    </row>
    <row r="12" spans="2:100" ht="14.25" thickBot="1">
      <c r="B12" s="1094"/>
      <c r="C12" s="160"/>
      <c r="D12" s="1096" t="s">
        <v>207</v>
      </c>
      <c r="E12" s="1097"/>
      <c r="F12" s="1097"/>
      <c r="G12" s="1097"/>
      <c r="H12" s="1098"/>
      <c r="I12" s="161"/>
      <c r="J12" s="1099">
        <f>+'事業費（既存）'!F266</f>
        <v>0</v>
      </c>
      <c r="K12" s="1100"/>
      <c r="L12" s="1100"/>
      <c r="M12" s="361"/>
      <c r="N12" s="256"/>
      <c r="O12" s="1099">
        <f>+'事業費（既存）'!G266</f>
        <v>0</v>
      </c>
      <c r="P12" s="1100"/>
      <c r="Q12" s="1100"/>
      <c r="R12" s="361"/>
      <c r="S12" s="256"/>
      <c r="T12" s="1099">
        <f>+'事業費（既存）'!H266</f>
        <v>0</v>
      </c>
      <c r="U12" s="1100"/>
      <c r="V12" s="1100"/>
      <c r="W12" s="361"/>
      <c r="X12" s="256"/>
      <c r="Y12" s="1099">
        <f>+'事業費（既存）'!I266</f>
        <v>0</v>
      </c>
      <c r="Z12" s="1100"/>
      <c r="AA12" s="1100"/>
      <c r="AB12" s="361"/>
      <c r="AC12" s="256"/>
      <c r="AD12" s="1099">
        <f t="shared" si="0"/>
        <v>0</v>
      </c>
      <c r="AE12" s="1100"/>
      <c r="AF12" s="1100"/>
      <c r="AG12" s="361"/>
      <c r="AH12" s="256"/>
      <c r="AI12" s="1134">
        <v>100</v>
      </c>
      <c r="AJ12" s="1134"/>
      <c r="AK12" s="1134"/>
      <c r="AL12" s="269"/>
      <c r="AO12" s="1143"/>
      <c r="AP12" s="285" t="s">
        <v>348</v>
      </c>
      <c r="AQ12" s="286">
        <f>+AD15</f>
        <v>0</v>
      </c>
      <c r="AR12" s="330">
        <f>AD28</f>
        <v>0</v>
      </c>
      <c r="AT12" s="1010" t="s">
        <v>23</v>
      </c>
      <c r="AU12" s="1011"/>
      <c r="AV12" s="1011"/>
      <c r="AW12" s="1011"/>
      <c r="AX12" s="1011"/>
      <c r="AY12" s="1011"/>
      <c r="AZ12" s="1011"/>
      <c r="BA12" s="1011" t="s">
        <v>24</v>
      </c>
      <c r="BB12" s="1011"/>
      <c r="BC12" s="1011"/>
      <c r="BD12" s="1011" t="s">
        <v>321</v>
      </c>
      <c r="BE12" s="1011"/>
      <c r="BF12" s="1011"/>
      <c r="BG12" s="1011"/>
      <c r="BH12" s="1011"/>
      <c r="BI12" s="1011" t="s">
        <v>322</v>
      </c>
      <c r="BJ12" s="1011"/>
      <c r="BK12" s="1011"/>
      <c r="BL12" s="1011"/>
      <c r="BM12" s="1011"/>
      <c r="BN12" s="1011" t="s">
        <v>323</v>
      </c>
      <c r="BO12" s="1011"/>
      <c r="BP12" s="1011"/>
      <c r="BQ12" s="1011"/>
      <c r="BR12" s="1011"/>
      <c r="BS12" s="1011"/>
      <c r="BT12" s="1011"/>
      <c r="BU12" s="1011"/>
      <c r="BV12" s="1011"/>
      <c r="BW12" s="1020"/>
      <c r="BX12" s="1"/>
      <c r="BY12" s="1"/>
      <c r="BZ12" s="1"/>
      <c r="CA12" s="1"/>
      <c r="CB12" s="1"/>
      <c r="CC12" s="1"/>
      <c r="CD12" s="1"/>
      <c r="CE12" s="1"/>
      <c r="CF12" s="1"/>
      <c r="CG12" s="1"/>
      <c r="CH12" s="1"/>
      <c r="CI12" s="1"/>
      <c r="CJ12" s="1"/>
      <c r="CK12" s="1"/>
      <c r="CL12" s="1"/>
      <c r="CM12" s="1"/>
      <c r="CN12" s="1"/>
      <c r="CO12" s="1"/>
      <c r="CP12" s="1"/>
      <c r="CQ12" s="1"/>
      <c r="CR12" s="1"/>
      <c r="CS12" s="1"/>
      <c r="CT12" s="1"/>
      <c r="CU12" s="1"/>
      <c r="CV12" s="436"/>
    </row>
    <row r="13" spans="2:100">
      <c r="B13" s="1094"/>
      <c r="C13" s="160"/>
      <c r="D13" s="1096" t="s">
        <v>123</v>
      </c>
      <c r="E13" s="1097"/>
      <c r="F13" s="1097"/>
      <c r="G13" s="1097"/>
      <c r="H13" s="1098"/>
      <c r="I13" s="161"/>
      <c r="J13" s="1099">
        <f>+'事業費（既存）'!F267</f>
        <v>0</v>
      </c>
      <c r="K13" s="1100"/>
      <c r="L13" s="1100"/>
      <c r="M13" s="361"/>
      <c r="N13" s="256"/>
      <c r="O13" s="1144">
        <f>+'事業費（既存）'!G267</f>
        <v>0</v>
      </c>
      <c r="P13" s="1145"/>
      <c r="Q13" s="1145"/>
      <c r="R13" s="363"/>
      <c r="S13" s="258"/>
      <c r="T13" s="1099">
        <f>+'事業費（既存）'!H267</f>
        <v>0</v>
      </c>
      <c r="U13" s="1100"/>
      <c r="V13" s="1100"/>
      <c r="W13" s="361"/>
      <c r="X13" s="256"/>
      <c r="Y13" s="1099">
        <f>+'事業費（既存）'!I267</f>
        <v>0</v>
      </c>
      <c r="Z13" s="1100"/>
      <c r="AA13" s="1100"/>
      <c r="AB13" s="361"/>
      <c r="AC13" s="256"/>
      <c r="AD13" s="1099">
        <f t="shared" si="0"/>
        <v>0</v>
      </c>
      <c r="AE13" s="1100"/>
      <c r="AF13" s="1100"/>
      <c r="AG13" s="361"/>
      <c r="AH13" s="256"/>
      <c r="AI13" s="1134">
        <v>100</v>
      </c>
      <c r="AJ13" s="1134"/>
      <c r="AK13" s="1134"/>
      <c r="AL13" s="269"/>
      <c r="AT13" s="1124" t="s">
        <v>533</v>
      </c>
      <c r="AU13" s="922" t="s">
        <v>275</v>
      </c>
      <c r="AV13" s="922"/>
      <c r="AW13" s="922"/>
      <c r="AX13" s="922"/>
      <c r="AY13" s="922"/>
      <c r="AZ13" s="922"/>
      <c r="BA13" s="922" t="s">
        <v>217</v>
      </c>
      <c r="BB13" s="922"/>
      <c r="BC13" s="922"/>
      <c r="BD13" s="1043">
        <f>+⑤基本情報入力!$L$29</f>
        <v>0</v>
      </c>
      <c r="BE13" s="1043"/>
      <c r="BF13" s="1043"/>
      <c r="BG13" s="1043"/>
      <c r="BH13" s="1043"/>
      <c r="BI13" s="1043">
        <f>+⑤基本情報入力!$Q$29</f>
        <v>0</v>
      </c>
      <c r="BJ13" s="1043"/>
      <c r="BK13" s="1043"/>
      <c r="BL13" s="1043"/>
      <c r="BM13" s="1043"/>
      <c r="BN13" s="1043">
        <f>+⑤基本情報入力!$V$29</f>
        <v>0</v>
      </c>
      <c r="BO13" s="1043"/>
      <c r="BP13" s="1043"/>
      <c r="BQ13" s="1043"/>
      <c r="BR13" s="1043"/>
      <c r="BS13" s="922" t="s">
        <v>39</v>
      </c>
      <c r="BT13" s="922"/>
      <c r="BU13" s="922"/>
      <c r="BV13" s="922"/>
      <c r="BW13" s="1061"/>
      <c r="BX13" s="1"/>
      <c r="BY13" s="1"/>
      <c r="BZ13" s="1"/>
      <c r="CA13" s="1"/>
      <c r="CB13" s="1"/>
      <c r="CC13" s="1"/>
      <c r="CD13" s="1"/>
      <c r="CE13" s="1"/>
      <c r="CF13" s="1"/>
      <c r="CG13" s="1"/>
      <c r="CH13" s="1"/>
      <c r="CI13" s="1"/>
      <c r="CJ13" s="1"/>
      <c r="CK13" s="1"/>
      <c r="CL13" s="1"/>
      <c r="CM13" s="1"/>
      <c r="CN13" s="1"/>
      <c r="CO13" s="1"/>
      <c r="CP13" s="1"/>
      <c r="CQ13" s="1"/>
      <c r="CR13" s="1"/>
      <c r="CS13" s="1"/>
      <c r="CT13" s="1"/>
      <c r="CU13" s="1"/>
      <c r="CV13" s="436"/>
    </row>
    <row r="14" spans="2:100">
      <c r="B14" s="1094"/>
      <c r="C14" s="160"/>
      <c r="D14" s="1103" t="s">
        <v>349</v>
      </c>
      <c r="E14" s="1104"/>
      <c r="F14" s="1105"/>
      <c r="G14" s="288" t="s">
        <v>347</v>
      </c>
      <c r="H14" s="289"/>
      <c r="I14" s="290"/>
      <c r="J14" s="1109">
        <f>SUM(J10:L13)</f>
        <v>0</v>
      </c>
      <c r="K14" s="1110"/>
      <c r="L14" s="1110"/>
      <c r="M14" s="365"/>
      <c r="N14" s="291"/>
      <c r="O14" s="1109">
        <f>SUM(O10:Q13)</f>
        <v>0</v>
      </c>
      <c r="P14" s="1110"/>
      <c r="Q14" s="1110"/>
      <c r="R14" s="365"/>
      <c r="S14" s="291"/>
      <c r="T14" s="1109">
        <f>SUM(T10:V13)</f>
        <v>0</v>
      </c>
      <c r="U14" s="1110"/>
      <c r="V14" s="1110"/>
      <c r="W14" s="365"/>
      <c r="X14" s="291"/>
      <c r="Y14" s="1109">
        <f>SUM(Y10:AA13)</f>
        <v>0</v>
      </c>
      <c r="Z14" s="1110"/>
      <c r="AA14" s="1110"/>
      <c r="AB14" s="365"/>
      <c r="AC14" s="291"/>
      <c r="AD14" s="1109">
        <f>+SUM(J14,O14,T14,Y14)</f>
        <v>0</v>
      </c>
      <c r="AE14" s="1110"/>
      <c r="AF14" s="1110"/>
      <c r="AG14" s="365"/>
      <c r="AH14" s="291"/>
      <c r="AI14" s="1150">
        <v>100</v>
      </c>
      <c r="AJ14" s="1151"/>
      <c r="AK14" s="1151"/>
      <c r="AL14" s="292"/>
      <c r="AT14" s="1124"/>
      <c r="AU14" s="909" t="s">
        <v>158</v>
      </c>
      <c r="AV14" s="909"/>
      <c r="AW14" s="909"/>
      <c r="AX14" s="909"/>
      <c r="AY14" s="909"/>
      <c r="AZ14" s="909"/>
      <c r="BA14" s="909" t="s">
        <v>148</v>
      </c>
      <c r="BB14" s="909"/>
      <c r="BC14" s="909"/>
      <c r="BD14" s="922" t="s">
        <v>541</v>
      </c>
      <c r="BE14" s="922"/>
      <c r="BF14" s="922"/>
      <c r="BG14" s="922"/>
      <c r="BH14" s="922"/>
      <c r="BI14" s="922"/>
      <c r="BJ14" s="922"/>
      <c r="BK14" s="922"/>
      <c r="BL14" s="922"/>
      <c r="BM14" s="922"/>
      <c r="BN14" s="922" t="s">
        <v>542</v>
      </c>
      <c r="BO14" s="922"/>
      <c r="BP14" s="922"/>
      <c r="BQ14" s="922"/>
      <c r="BR14" s="922"/>
      <c r="BS14" s="1043" t="s">
        <v>217</v>
      </c>
      <c r="BT14" s="1043"/>
      <c r="BU14" s="1043"/>
      <c r="BV14" s="1043"/>
      <c r="BW14" s="1136"/>
      <c r="BX14" s="1"/>
      <c r="BY14" s="1"/>
      <c r="BZ14" s="1"/>
      <c r="CA14" s="1"/>
      <c r="CB14" s="1"/>
      <c r="CC14" s="1"/>
      <c r="CD14" s="1"/>
      <c r="CE14" s="1"/>
      <c r="CF14" s="1"/>
      <c r="CG14" s="1"/>
      <c r="CH14" s="1"/>
      <c r="CI14" s="1"/>
      <c r="CJ14" s="1"/>
      <c r="CK14" s="1"/>
      <c r="CL14" s="1"/>
      <c r="CM14" s="1"/>
      <c r="CN14" s="1"/>
      <c r="CO14" s="1"/>
      <c r="CP14" s="1"/>
      <c r="CQ14" s="1"/>
      <c r="CR14" s="1"/>
      <c r="CS14" s="1"/>
      <c r="CT14" s="1"/>
      <c r="CU14" s="1"/>
      <c r="CV14" s="436"/>
    </row>
    <row r="15" spans="2:100" ht="14.25" thickBot="1">
      <c r="B15" s="1095"/>
      <c r="C15" s="165"/>
      <c r="D15" s="1106"/>
      <c r="E15" s="1107"/>
      <c r="F15" s="1108"/>
      <c r="G15" s="293" t="s">
        <v>348</v>
      </c>
      <c r="H15" s="294"/>
      <c r="I15" s="295"/>
      <c r="J15" s="1146">
        <f>J10*0.45+J11+J12+J13</f>
        <v>0</v>
      </c>
      <c r="K15" s="1147"/>
      <c r="L15" s="1147"/>
      <c r="M15" s="364"/>
      <c r="N15" s="296"/>
      <c r="O15" s="1146">
        <f>O10*0.67+O11+O12+O13</f>
        <v>0</v>
      </c>
      <c r="P15" s="1147"/>
      <c r="Q15" s="1147"/>
      <c r="R15" s="364"/>
      <c r="S15" s="296"/>
      <c r="T15" s="1146">
        <f>T10*0.67+T11+T12+T13</f>
        <v>0</v>
      </c>
      <c r="U15" s="1147"/>
      <c r="V15" s="1147"/>
      <c r="W15" s="364"/>
      <c r="X15" s="296"/>
      <c r="Y15" s="1146">
        <f>Y10*0.67+Y11+Y12+Y13</f>
        <v>0</v>
      </c>
      <c r="Z15" s="1147"/>
      <c r="AA15" s="1147"/>
      <c r="AB15" s="364"/>
      <c r="AC15" s="296"/>
      <c r="AD15" s="1146">
        <f>+SUM(J15,O15,T15,Y15)</f>
        <v>0</v>
      </c>
      <c r="AE15" s="1147"/>
      <c r="AF15" s="1147"/>
      <c r="AG15" s="364"/>
      <c r="AH15" s="296"/>
      <c r="AI15" s="1148">
        <v>100</v>
      </c>
      <c r="AJ15" s="1149"/>
      <c r="AK15" s="1149"/>
      <c r="AL15" s="297"/>
      <c r="AT15" s="1124"/>
      <c r="AU15" s="909" t="s">
        <v>534</v>
      </c>
      <c r="AV15" s="909"/>
      <c r="AW15" s="909"/>
      <c r="AX15" s="909"/>
      <c r="AY15" s="909"/>
      <c r="AZ15" s="909"/>
      <c r="BA15" s="909" t="s">
        <v>120</v>
      </c>
      <c r="BB15" s="909"/>
      <c r="BC15" s="909"/>
      <c r="BD15" s="1111" t="str">
        <f>IF(⑤基本情報入力!$L$41="","",⑤基本情報入力!$L$41)</f>
        <v/>
      </c>
      <c r="BE15" s="1111"/>
      <c r="BF15" s="1111"/>
      <c r="BG15" s="1111"/>
      <c r="BH15" s="1111"/>
      <c r="BI15" s="1111"/>
      <c r="BJ15" s="1111"/>
      <c r="BK15" s="1111"/>
      <c r="BL15" s="1111"/>
      <c r="BM15" s="1111"/>
      <c r="BN15" s="1111" t="str">
        <f>IF(⑤基本情報入力!V41="","",⑤基本情報入力!$V$41)</f>
        <v/>
      </c>
      <c r="BO15" s="1111"/>
      <c r="BP15" s="1111"/>
      <c r="BQ15" s="1111"/>
      <c r="BR15" s="1111"/>
      <c r="BS15" s="1111">
        <f>SUM(BD15:BR15)</f>
        <v>0</v>
      </c>
      <c r="BT15" s="1111"/>
      <c r="BU15" s="1111"/>
      <c r="BV15" s="1111"/>
      <c r="BW15" s="1141"/>
      <c r="BX15" s="1"/>
      <c r="BY15" s="1"/>
      <c r="BZ15" s="1"/>
      <c r="CA15" s="1"/>
      <c r="CB15" s="1"/>
      <c r="CC15" s="1"/>
      <c r="CD15" s="1"/>
      <c r="CE15" s="1"/>
      <c r="CF15" s="1"/>
      <c r="CG15" s="1"/>
      <c r="CH15" s="1"/>
      <c r="CI15" s="1"/>
      <c r="CJ15" s="1"/>
      <c r="CK15" s="1"/>
      <c r="CL15" s="1"/>
      <c r="CM15" s="1"/>
      <c r="CN15" s="1"/>
      <c r="CO15" s="1"/>
      <c r="CP15" s="1"/>
      <c r="CQ15" s="1"/>
      <c r="CR15" s="1"/>
      <c r="CS15" s="1"/>
      <c r="CT15" s="1"/>
      <c r="CU15" s="1"/>
      <c r="CV15" s="436"/>
    </row>
    <row r="16" spans="2:100">
      <c r="B16" s="366"/>
      <c r="C16" s="230"/>
      <c r="D16" s="366"/>
      <c r="E16" s="366"/>
      <c r="F16" s="366"/>
      <c r="G16" s="225"/>
      <c r="H16" s="1"/>
      <c r="I16" s="227"/>
      <c r="J16" s="226"/>
      <c r="K16" s="226"/>
      <c r="L16" s="226"/>
      <c r="M16" s="227"/>
      <c r="N16" s="227"/>
      <c r="O16" s="226"/>
      <c r="P16" s="226"/>
      <c r="Q16" s="227"/>
      <c r="R16" s="227"/>
      <c r="S16" s="226"/>
      <c r="T16" s="226"/>
      <c r="U16" s="226"/>
      <c r="V16" s="227"/>
      <c r="W16" s="227"/>
      <c r="X16" s="226"/>
      <c r="Y16" s="226"/>
      <c r="Z16" s="226"/>
      <c r="AA16" s="227"/>
      <c r="AB16" s="227"/>
      <c r="AC16" s="226"/>
      <c r="AD16" s="226"/>
      <c r="AE16" s="226"/>
      <c r="AF16" s="227"/>
      <c r="AG16" s="227"/>
      <c r="AH16" s="228"/>
      <c r="AI16" s="228"/>
      <c r="AJ16" s="228"/>
      <c r="AK16" s="229"/>
      <c r="AT16" s="1124"/>
      <c r="AU16" s="909" t="s">
        <v>543</v>
      </c>
      <c r="AV16" s="909"/>
      <c r="AW16" s="909"/>
      <c r="AX16" s="909"/>
      <c r="AY16" s="909"/>
      <c r="AZ16" s="909"/>
      <c r="BA16" s="909" t="s">
        <v>124</v>
      </c>
      <c r="BB16" s="909"/>
      <c r="BC16" s="909"/>
      <c r="BD16" s="1111" t="str">
        <f>IF(BD15="","",BD15*(1-⑤基本情報入力!$Y$61)*(⑤基本情報入力!$AB$61+⑤基本情報入力!$AB$61/((⑤基本情報入力!$AB$61+1)^⑤基本情報入力!$AE$61-1)))</f>
        <v/>
      </c>
      <c r="BE16" s="1111"/>
      <c r="BF16" s="1111"/>
      <c r="BG16" s="1111"/>
      <c r="BH16" s="1111"/>
      <c r="BI16" s="1111"/>
      <c r="BJ16" s="1111"/>
      <c r="BK16" s="1111"/>
      <c r="BL16" s="1111"/>
      <c r="BM16" s="1111"/>
      <c r="BN16" s="1111" t="str">
        <f>IF(BN15="","",BN15*(1-⑤基本情報入力!$Y$61)*(⑤基本情報入力!$AB$61+⑤基本情報入力!$AB$61/((⑤基本情報入力!$AB$61+1)^⑤基本情報入力!$AE$61-1)))</f>
        <v/>
      </c>
      <c r="BO16" s="1111"/>
      <c r="BP16" s="1111"/>
      <c r="BQ16" s="1111"/>
      <c r="BR16" s="1111"/>
      <c r="BS16" s="1111">
        <f t="shared" ref="BS16:BS17" si="1">SUM(BD16:BR16)</f>
        <v>0</v>
      </c>
      <c r="BT16" s="1111"/>
      <c r="BU16" s="1111"/>
      <c r="BV16" s="1111"/>
      <c r="BW16" s="1141"/>
      <c r="BX16" s="1"/>
      <c r="BY16" s="1"/>
      <c r="BZ16" s="1"/>
      <c r="CA16" s="1"/>
      <c r="CB16" s="1"/>
      <c r="CC16" s="1"/>
      <c r="CD16" s="1"/>
      <c r="CE16" s="1"/>
      <c r="CF16" s="1"/>
      <c r="CG16" s="1"/>
      <c r="CH16" s="1"/>
      <c r="CI16" s="1"/>
      <c r="CJ16" s="1"/>
      <c r="CK16" s="1"/>
      <c r="CL16" s="1"/>
      <c r="CM16" s="1"/>
      <c r="CN16" s="1"/>
      <c r="CO16" s="1"/>
      <c r="CP16" s="1"/>
      <c r="CQ16" s="1"/>
      <c r="CR16" s="1"/>
      <c r="CS16" s="1"/>
      <c r="CT16" s="1"/>
      <c r="CU16" s="1"/>
      <c r="CV16" s="436"/>
    </row>
    <row r="17" spans="2:100" ht="14.25" thickBot="1">
      <c r="B17" s="1157" t="s">
        <v>711</v>
      </c>
      <c r="C17" s="1157"/>
      <c r="D17" s="1157"/>
      <c r="E17" s="1157"/>
      <c r="F17" s="1157"/>
      <c r="G17" s="1157"/>
      <c r="H17" s="1157"/>
      <c r="I17" s="1157"/>
      <c r="J17" s="1157"/>
      <c r="K17" s="1157"/>
      <c r="L17" s="1157"/>
      <c r="M17" s="1157"/>
      <c r="N17" s="1157"/>
      <c r="O17" s="1157"/>
      <c r="P17" s="1157"/>
      <c r="Q17" s="1157"/>
      <c r="R17" s="1157"/>
      <c r="S17" s="1157"/>
      <c r="T17" s="1157"/>
      <c r="U17" s="1157"/>
      <c r="V17" s="1157"/>
      <c r="W17" s="1157"/>
      <c r="X17" s="1157"/>
      <c r="Y17" s="1157"/>
      <c r="Z17" s="1157"/>
      <c r="AA17" s="1157"/>
      <c r="AB17" s="1157"/>
      <c r="AC17" s="1157"/>
      <c r="AD17" s="1157"/>
      <c r="AE17" s="1157"/>
      <c r="AF17" s="1157"/>
      <c r="AG17" s="1157"/>
      <c r="AH17" s="1157"/>
      <c r="AI17" s="1157"/>
      <c r="AJ17" s="1157"/>
      <c r="AK17" s="1157"/>
      <c r="AL17" s="1157"/>
      <c r="AT17" s="1125"/>
      <c r="AU17" s="934" t="s">
        <v>264</v>
      </c>
      <c r="AV17" s="934"/>
      <c r="AW17" s="934"/>
      <c r="AX17" s="934"/>
      <c r="AY17" s="934"/>
      <c r="AZ17" s="934"/>
      <c r="BA17" s="934" t="s">
        <v>124</v>
      </c>
      <c r="BB17" s="934"/>
      <c r="BC17" s="934"/>
      <c r="BD17" s="1135" t="str">
        <f>IF(⑤基本情報入力!L42="","",⑤基本情報入力!$L$42)</f>
        <v/>
      </c>
      <c r="BE17" s="1135"/>
      <c r="BF17" s="1135"/>
      <c r="BG17" s="1135"/>
      <c r="BH17" s="1135"/>
      <c r="BI17" s="1135"/>
      <c r="BJ17" s="1135"/>
      <c r="BK17" s="1135"/>
      <c r="BL17" s="1135"/>
      <c r="BM17" s="1135"/>
      <c r="BN17" s="1135" t="str">
        <f>IF(⑤基本情報入力!V42="","",⑤基本情報入力!$V$42)</f>
        <v/>
      </c>
      <c r="BO17" s="1135"/>
      <c r="BP17" s="1135"/>
      <c r="BQ17" s="1135"/>
      <c r="BR17" s="1135"/>
      <c r="BS17" s="1135">
        <f t="shared" si="1"/>
        <v>0</v>
      </c>
      <c r="BT17" s="1135"/>
      <c r="BU17" s="1135"/>
      <c r="BV17" s="1135"/>
      <c r="BW17" s="1142"/>
      <c r="BX17" s="1"/>
      <c r="BY17" s="1"/>
      <c r="BZ17" s="1"/>
      <c r="CA17" s="1"/>
      <c r="CB17" s="1"/>
      <c r="CC17" s="1"/>
      <c r="CD17" s="1"/>
      <c r="CE17" s="1"/>
      <c r="CF17" s="1"/>
      <c r="CG17" s="1"/>
      <c r="CH17" s="1"/>
      <c r="CI17" s="1"/>
      <c r="CJ17" s="1"/>
      <c r="CK17" s="1"/>
      <c r="CL17" s="1"/>
      <c r="CM17" s="1"/>
      <c r="CN17" s="1"/>
      <c r="CO17" s="1"/>
      <c r="CP17" s="1"/>
      <c r="CQ17" s="1"/>
      <c r="CR17" s="1"/>
      <c r="CS17" s="1"/>
      <c r="CT17" s="1"/>
      <c r="CU17" s="1"/>
      <c r="CV17" s="436"/>
    </row>
    <row r="18" spans="2:100">
      <c r="B18" s="1158" t="s">
        <v>721</v>
      </c>
      <c r="C18" s="1159"/>
      <c r="D18" s="1159"/>
      <c r="E18" s="1159"/>
      <c r="F18" s="1159"/>
      <c r="G18" s="1159"/>
      <c r="H18" s="1159"/>
      <c r="I18" s="1159"/>
      <c r="J18" s="1159"/>
      <c r="K18" s="1159"/>
      <c r="L18" s="1159"/>
      <c r="M18" s="1159"/>
      <c r="N18" s="1159"/>
      <c r="O18" s="1159"/>
      <c r="P18" s="1159"/>
      <c r="Q18" s="1159"/>
      <c r="R18" s="1159"/>
      <c r="S18" s="1159"/>
      <c r="T18" s="1159"/>
      <c r="U18" s="1159"/>
      <c r="V18" s="1159"/>
      <c r="W18" s="1159"/>
      <c r="X18" s="1159"/>
      <c r="Y18" s="1159"/>
      <c r="Z18" s="1159"/>
      <c r="AA18" s="1159"/>
      <c r="AB18" s="1159"/>
      <c r="AC18" s="1159"/>
      <c r="AD18" s="1159"/>
      <c r="AE18" s="1159"/>
      <c r="AF18" s="1159"/>
      <c r="AG18" s="1159"/>
      <c r="AH18" s="1159"/>
      <c r="AI18" s="1159"/>
      <c r="AJ18" s="1159"/>
      <c r="AK18" s="1159"/>
      <c r="AL18" s="1160"/>
      <c r="AT18" s="437"/>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436"/>
    </row>
    <row r="19" spans="2:100">
      <c r="B19" s="1155"/>
      <c r="C19" s="1131" t="s">
        <v>488</v>
      </c>
      <c r="D19" s="1132"/>
      <c r="E19" s="1132"/>
      <c r="F19" s="1132"/>
      <c r="G19" s="1132"/>
      <c r="H19" s="1133"/>
      <c r="I19" s="159"/>
      <c r="J19" s="1101" t="s">
        <v>344</v>
      </c>
      <c r="K19" s="1102"/>
      <c r="L19" s="1102"/>
      <c r="M19" s="1102"/>
      <c r="N19" s="1102"/>
      <c r="O19" s="1101" t="s">
        <v>194</v>
      </c>
      <c r="P19" s="1102"/>
      <c r="Q19" s="1102"/>
      <c r="R19" s="1102"/>
      <c r="S19" s="1102"/>
      <c r="T19" s="1101" t="s">
        <v>345</v>
      </c>
      <c r="U19" s="1102"/>
      <c r="V19" s="1102"/>
      <c r="W19" s="1102"/>
      <c r="X19" s="1102"/>
      <c r="Y19" s="1101" t="s">
        <v>342</v>
      </c>
      <c r="Z19" s="1102"/>
      <c r="AA19" s="1102"/>
      <c r="AB19" s="1102"/>
      <c r="AC19" s="1102"/>
      <c r="AD19" s="1101" t="s">
        <v>39</v>
      </c>
      <c r="AE19" s="1102"/>
      <c r="AF19" s="1102"/>
      <c r="AG19" s="1102"/>
      <c r="AH19" s="1120"/>
      <c r="AI19" s="1101" t="s">
        <v>447</v>
      </c>
      <c r="AJ19" s="1102"/>
      <c r="AK19" s="1102"/>
      <c r="AL19" s="1121"/>
      <c r="AT19" s="437" t="s">
        <v>544</v>
      </c>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436"/>
    </row>
    <row r="20" spans="2:100">
      <c r="B20" s="1155"/>
      <c r="C20" s="160"/>
      <c r="D20" s="1112" t="s">
        <v>346</v>
      </c>
      <c r="E20" s="1113"/>
      <c r="F20" s="1114"/>
      <c r="G20" s="1096" t="s">
        <v>347</v>
      </c>
      <c r="H20" s="1098"/>
      <c r="I20" s="161"/>
      <c r="J20" s="1099">
        <f>+'事業費（いしかわモデル）'!F202</f>
        <v>0</v>
      </c>
      <c r="K20" s="1100"/>
      <c r="L20" s="1100"/>
      <c r="M20" s="361"/>
      <c r="N20" s="256"/>
      <c r="O20" s="1099">
        <f>+'事業費（いしかわモデル）'!G202</f>
        <v>0</v>
      </c>
      <c r="P20" s="1100"/>
      <c r="Q20" s="1100"/>
      <c r="R20" s="361"/>
      <c r="S20" s="256"/>
      <c r="T20" s="1099">
        <f>+'事業費（いしかわモデル）'!H202</f>
        <v>0</v>
      </c>
      <c r="U20" s="1100"/>
      <c r="V20" s="1100"/>
      <c r="W20" s="361"/>
      <c r="X20" s="256"/>
      <c r="Y20" s="1099">
        <f>+'事業費（いしかわモデル）'!I202</f>
        <v>0</v>
      </c>
      <c r="Z20" s="1100"/>
      <c r="AA20" s="1100"/>
      <c r="AB20" s="361"/>
      <c r="AC20" s="256"/>
      <c r="AD20" s="1099">
        <f>+SUM(J20,O20,T20,Y20)</f>
        <v>0</v>
      </c>
      <c r="AE20" s="1100"/>
      <c r="AF20" s="1100"/>
      <c r="AG20" s="361"/>
      <c r="AH20" s="256"/>
      <c r="AI20" s="1118" t="str">
        <f>IFERROR(AD20/AD7*100,"ERROR")</f>
        <v>ERROR</v>
      </c>
      <c r="AJ20" s="1119"/>
      <c r="AK20" s="1119"/>
      <c r="AL20" s="269"/>
      <c r="AT20" s="437"/>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436"/>
    </row>
    <row r="21" spans="2:100" ht="14.25" thickBot="1">
      <c r="B21" s="1155"/>
      <c r="C21" s="162"/>
      <c r="D21" s="1115"/>
      <c r="E21" s="1116"/>
      <c r="F21" s="1117"/>
      <c r="G21" s="1137" t="s">
        <v>348</v>
      </c>
      <c r="H21" s="1138"/>
      <c r="I21" s="163"/>
      <c r="J21" s="1139">
        <f>+ROUND(J20*0.45,0)</f>
        <v>0</v>
      </c>
      <c r="K21" s="1140"/>
      <c r="L21" s="1140"/>
      <c r="M21" s="362"/>
      <c r="N21" s="257"/>
      <c r="O21" s="1139">
        <f>+ROUND(O20*0.67,0)</f>
        <v>0</v>
      </c>
      <c r="P21" s="1140"/>
      <c r="Q21" s="1140"/>
      <c r="R21" s="362"/>
      <c r="S21" s="257"/>
      <c r="T21" s="1139">
        <f>+ROUND(T20*0.67,0)</f>
        <v>0</v>
      </c>
      <c r="U21" s="1140"/>
      <c r="V21" s="1140"/>
      <c r="W21" s="362"/>
      <c r="X21" s="257"/>
      <c r="Y21" s="1139">
        <f>+ROUND(Y20*0.67,0)</f>
        <v>0</v>
      </c>
      <c r="Z21" s="1140"/>
      <c r="AA21" s="1140"/>
      <c r="AB21" s="362"/>
      <c r="AC21" s="257"/>
      <c r="AD21" s="1099">
        <f>+SUM(J21,O21,T21,Y21)</f>
        <v>0</v>
      </c>
      <c r="AE21" s="1100"/>
      <c r="AF21" s="1100"/>
      <c r="AG21" s="362"/>
      <c r="AH21" s="257"/>
      <c r="AI21" s="1118" t="str">
        <f>IFERROR(AD21/AD8*100,"ERROR")</f>
        <v>ERROR</v>
      </c>
      <c r="AJ21" s="1119"/>
      <c r="AK21" s="1119"/>
      <c r="AL21" s="269"/>
      <c r="AT21" s="1199" t="s">
        <v>547</v>
      </c>
      <c r="AU21" s="1157"/>
      <c r="AV21" s="1157"/>
      <c r="AW21" s="1157"/>
      <c r="AX21" s="1157"/>
      <c r="AY21" s="1157"/>
      <c r="AZ21" s="1157"/>
      <c r="BA21" s="1157"/>
      <c r="BB21" s="1157"/>
      <c r="BC21" s="1157"/>
      <c r="BD21" s="1157"/>
      <c r="BE21" s="1157"/>
      <c r="BF21" s="1157"/>
      <c r="BG21" s="1157"/>
      <c r="BH21" s="1157"/>
      <c r="BI21" s="1157"/>
      <c r="BJ21" s="1157"/>
      <c r="BK21" s="1157"/>
      <c r="BL21" s="1157"/>
      <c r="BM21" s="1157"/>
      <c r="BN21" s="1157"/>
      <c r="BO21" s="1157"/>
      <c r="BP21" s="1157"/>
      <c r="BQ21" s="1157"/>
      <c r="BR21" s="1157"/>
      <c r="BS21" s="1157"/>
      <c r="BT21" s="1157"/>
      <c r="BU21" s="1157"/>
      <c r="BV21" s="1157"/>
      <c r="BW21" s="1157"/>
      <c r="BX21" s="1157"/>
      <c r="BY21" s="1157"/>
      <c r="BZ21" s="1157"/>
      <c r="CA21" s="1157"/>
      <c r="CB21" s="1157"/>
      <c r="CC21" s="1157"/>
      <c r="CD21" s="1157"/>
      <c r="CE21" s="1157"/>
      <c r="CF21" s="1157"/>
      <c r="CG21" s="1157"/>
      <c r="CH21" s="1157"/>
      <c r="CI21" s="1157"/>
      <c r="CJ21" s="1157"/>
      <c r="CK21" s="1157"/>
      <c r="CL21" s="1157"/>
      <c r="CM21" s="1157"/>
      <c r="CN21" s="1157"/>
      <c r="CO21" s="1157"/>
      <c r="CP21" s="1157"/>
      <c r="CQ21" s="1157"/>
      <c r="CR21" s="1157"/>
      <c r="CS21" s="1157"/>
      <c r="CT21" s="1157"/>
      <c r="CU21" s="1157"/>
      <c r="CV21" s="1200"/>
    </row>
    <row r="22" spans="2:100">
      <c r="B22" s="1155"/>
      <c r="C22" s="1131" t="s">
        <v>489</v>
      </c>
      <c r="D22" s="1132"/>
      <c r="E22" s="1132"/>
      <c r="F22" s="1132"/>
      <c r="G22" s="1132"/>
      <c r="H22" s="1133"/>
      <c r="I22" s="164"/>
      <c r="J22" s="1101" t="s">
        <v>344</v>
      </c>
      <c r="K22" s="1102"/>
      <c r="L22" s="1102"/>
      <c r="M22" s="1102"/>
      <c r="N22" s="1102"/>
      <c r="O22" s="1101" t="s">
        <v>194</v>
      </c>
      <c r="P22" s="1102"/>
      <c r="Q22" s="1102"/>
      <c r="R22" s="1102"/>
      <c r="S22" s="1102"/>
      <c r="T22" s="1101" t="s">
        <v>19</v>
      </c>
      <c r="U22" s="1102"/>
      <c r="V22" s="1102"/>
      <c r="W22" s="1102"/>
      <c r="X22" s="1102"/>
      <c r="Y22" s="1101" t="s">
        <v>342</v>
      </c>
      <c r="Z22" s="1102"/>
      <c r="AA22" s="1102"/>
      <c r="AB22" s="1102"/>
      <c r="AC22" s="1102"/>
      <c r="AD22" s="1101" t="s">
        <v>39</v>
      </c>
      <c r="AE22" s="1102"/>
      <c r="AF22" s="1102"/>
      <c r="AG22" s="1102"/>
      <c r="AH22" s="1120"/>
      <c r="AI22" s="1126" t="s">
        <v>447</v>
      </c>
      <c r="AJ22" s="1127"/>
      <c r="AK22" s="1127"/>
      <c r="AL22" s="1128"/>
      <c r="AP22" s="333"/>
      <c r="AT22" s="1010" t="s">
        <v>23</v>
      </c>
      <c r="AU22" s="1011"/>
      <c r="AV22" s="1011"/>
      <c r="AW22" s="1011"/>
      <c r="AX22" s="1011"/>
      <c r="AY22" s="1011"/>
      <c r="AZ22" s="1011"/>
      <c r="BA22" s="1011" t="s">
        <v>24</v>
      </c>
      <c r="BB22" s="1011"/>
      <c r="BC22" s="1011"/>
      <c r="BD22" s="1011" t="s">
        <v>459</v>
      </c>
      <c r="BE22" s="1011"/>
      <c r="BF22" s="1011"/>
      <c r="BG22" s="1011"/>
      <c r="BH22" s="1011"/>
      <c r="BI22" s="1011"/>
      <c r="BJ22" s="1011"/>
      <c r="BK22" s="1011"/>
      <c r="BL22" s="1011"/>
      <c r="BM22" s="1011"/>
      <c r="BN22" s="1011" t="s">
        <v>114</v>
      </c>
      <c r="BO22" s="1011"/>
      <c r="BP22" s="1011"/>
      <c r="BQ22" s="1011"/>
      <c r="BR22" s="1011"/>
      <c r="BS22" s="1011" t="s">
        <v>115</v>
      </c>
      <c r="BT22" s="1011"/>
      <c r="BU22" s="1011"/>
      <c r="BV22" s="1011"/>
      <c r="BW22" s="1011"/>
      <c r="BX22" s="1011" t="s">
        <v>116</v>
      </c>
      <c r="BY22" s="1011"/>
      <c r="BZ22" s="1011"/>
      <c r="CA22" s="1011"/>
      <c r="CB22" s="1011"/>
      <c r="CC22" s="1011" t="s">
        <v>117</v>
      </c>
      <c r="CD22" s="1011"/>
      <c r="CE22" s="1011"/>
      <c r="CF22" s="1011"/>
      <c r="CG22" s="1011"/>
      <c r="CH22" s="1011" t="s">
        <v>319</v>
      </c>
      <c r="CI22" s="1011"/>
      <c r="CJ22" s="1011"/>
      <c r="CK22" s="1011"/>
      <c r="CL22" s="1011"/>
      <c r="CM22" s="1011" t="s">
        <v>320</v>
      </c>
      <c r="CN22" s="1011"/>
      <c r="CO22" s="1011"/>
      <c r="CP22" s="1011"/>
      <c r="CQ22" s="1011"/>
      <c r="CR22" s="1011"/>
      <c r="CS22" s="1011"/>
      <c r="CT22" s="1011"/>
      <c r="CU22" s="1011"/>
      <c r="CV22" s="1020"/>
    </row>
    <row r="23" spans="2:100">
      <c r="B23" s="1155"/>
      <c r="C23" s="160"/>
      <c r="D23" s="1096" t="s">
        <v>46</v>
      </c>
      <c r="E23" s="1097"/>
      <c r="F23" s="1097"/>
      <c r="G23" s="1097"/>
      <c r="H23" s="1098"/>
      <c r="I23" s="161"/>
      <c r="J23" s="1099">
        <f>+'事業費（いしかわモデル）'!F203</f>
        <v>0</v>
      </c>
      <c r="K23" s="1100"/>
      <c r="L23" s="1100"/>
      <c r="M23" s="361"/>
      <c r="N23" s="256"/>
      <c r="O23" s="1099">
        <f>+'事業費（いしかわモデル）'!G203</f>
        <v>0</v>
      </c>
      <c r="P23" s="1100"/>
      <c r="Q23" s="1100"/>
      <c r="R23" s="361"/>
      <c r="S23" s="256"/>
      <c r="T23" s="1099">
        <f>+'事業費（いしかわモデル）'!H203</f>
        <v>0</v>
      </c>
      <c r="U23" s="1100"/>
      <c r="V23" s="1100"/>
      <c r="W23" s="361"/>
      <c r="X23" s="256"/>
      <c r="Y23" s="1099">
        <f>+'事業費（いしかわモデル）'!I203</f>
        <v>0</v>
      </c>
      <c r="Z23" s="1100"/>
      <c r="AA23" s="1100"/>
      <c r="AB23" s="361"/>
      <c r="AC23" s="256"/>
      <c r="AD23" s="1099">
        <f>+SUM(J23,O23,T23,Y23)</f>
        <v>0</v>
      </c>
      <c r="AE23" s="1100"/>
      <c r="AF23" s="1100"/>
      <c r="AG23" s="361"/>
      <c r="AH23" s="256"/>
      <c r="AI23" s="1134" t="str">
        <f t="shared" ref="AI23:AI28" si="2">IFERROR(AD23/AD10*100,"ERROR")</f>
        <v>ERROR</v>
      </c>
      <c r="AJ23" s="1134"/>
      <c r="AK23" s="1134"/>
      <c r="AL23" s="269"/>
      <c r="AT23" s="1124" t="s">
        <v>533</v>
      </c>
      <c r="AU23" s="922" t="s">
        <v>275</v>
      </c>
      <c r="AV23" s="922"/>
      <c r="AW23" s="922"/>
      <c r="AX23" s="922"/>
      <c r="AY23" s="922"/>
      <c r="AZ23" s="922"/>
      <c r="BA23" s="922"/>
      <c r="BB23" s="922"/>
      <c r="BC23" s="922"/>
      <c r="BD23" s="922">
        <f>+⑤基本情報入力!$L$11</f>
        <v>0</v>
      </c>
      <c r="BE23" s="922"/>
      <c r="BF23" s="922"/>
      <c r="BG23" s="922"/>
      <c r="BH23" s="922"/>
      <c r="BI23" s="922"/>
      <c r="BJ23" s="922"/>
      <c r="BK23" s="922"/>
      <c r="BL23" s="922"/>
      <c r="BM23" s="922"/>
      <c r="BN23" s="922">
        <f>+⑤基本情報入力!$V$11</f>
        <v>0</v>
      </c>
      <c r="BO23" s="922"/>
      <c r="BP23" s="922"/>
      <c r="BQ23" s="922"/>
      <c r="BR23" s="922"/>
      <c r="BS23" s="922">
        <f>+⑤基本情報入力!$AA$11</f>
        <v>0</v>
      </c>
      <c r="BT23" s="922"/>
      <c r="BU23" s="922"/>
      <c r="BV23" s="922"/>
      <c r="BW23" s="922"/>
      <c r="BX23" s="922">
        <f>+⑤基本情報入力!$AF$11</f>
        <v>0</v>
      </c>
      <c r="BY23" s="922"/>
      <c r="BZ23" s="922"/>
      <c r="CA23" s="922"/>
      <c r="CB23" s="922"/>
      <c r="CC23" s="922">
        <f>+⑤基本情報入力!$AK$11</f>
        <v>0</v>
      </c>
      <c r="CD23" s="922"/>
      <c r="CE23" s="922"/>
      <c r="CF23" s="922"/>
      <c r="CG23" s="922"/>
      <c r="CH23" s="922">
        <f>+⑤基本情報入力!$AP$11</f>
        <v>0</v>
      </c>
      <c r="CI23" s="922"/>
      <c r="CJ23" s="922"/>
      <c r="CK23" s="922"/>
      <c r="CL23" s="922"/>
      <c r="CM23" s="922">
        <f>+⑤基本情報入力!$AU$11</f>
        <v>0</v>
      </c>
      <c r="CN23" s="922"/>
      <c r="CO23" s="922"/>
      <c r="CP23" s="922"/>
      <c r="CQ23" s="922"/>
      <c r="CR23" s="922" t="s">
        <v>39</v>
      </c>
      <c r="CS23" s="922"/>
      <c r="CT23" s="922"/>
      <c r="CU23" s="922"/>
      <c r="CV23" s="1061"/>
    </row>
    <row r="24" spans="2:100">
      <c r="B24" s="1155"/>
      <c r="C24" s="160"/>
      <c r="D24" s="1096" t="s">
        <v>17</v>
      </c>
      <c r="E24" s="1097"/>
      <c r="F24" s="1097"/>
      <c r="G24" s="1097"/>
      <c r="H24" s="1098"/>
      <c r="I24" s="161"/>
      <c r="J24" s="1099">
        <f>+'事業費（いしかわモデル）'!F204</f>
        <v>0</v>
      </c>
      <c r="K24" s="1100"/>
      <c r="L24" s="1100"/>
      <c r="M24" s="361"/>
      <c r="N24" s="256"/>
      <c r="O24" s="1099">
        <f>+'事業費（いしかわモデル）'!G204</f>
        <v>0</v>
      </c>
      <c r="P24" s="1100"/>
      <c r="Q24" s="1100"/>
      <c r="R24" s="361"/>
      <c r="S24" s="256"/>
      <c r="T24" s="1099">
        <f>+'事業費（いしかわモデル）'!H204</f>
        <v>0</v>
      </c>
      <c r="U24" s="1100"/>
      <c r="V24" s="1100"/>
      <c r="W24" s="361"/>
      <c r="X24" s="256"/>
      <c r="Y24" s="1099">
        <f>+'事業費（いしかわモデル）'!I204</f>
        <v>0</v>
      </c>
      <c r="Z24" s="1100"/>
      <c r="AA24" s="1100"/>
      <c r="AB24" s="361"/>
      <c r="AC24" s="256"/>
      <c r="AD24" s="1099">
        <f t="shared" ref="AD24:AD26" si="3">+SUM(J24,O24,T24,Y24)</f>
        <v>0</v>
      </c>
      <c r="AE24" s="1100"/>
      <c r="AF24" s="1100"/>
      <c r="AG24" s="361"/>
      <c r="AH24" s="256"/>
      <c r="AI24" s="1134" t="str">
        <f t="shared" si="2"/>
        <v>ERROR</v>
      </c>
      <c r="AJ24" s="1134"/>
      <c r="AK24" s="1134"/>
      <c r="AL24" s="269"/>
      <c r="AT24" s="1124"/>
      <c r="AU24" s="909" t="s">
        <v>458</v>
      </c>
      <c r="AV24" s="909"/>
      <c r="AW24" s="909"/>
      <c r="AX24" s="909"/>
      <c r="AY24" s="909"/>
      <c r="AZ24" s="909"/>
      <c r="BA24" s="922" t="s">
        <v>217</v>
      </c>
      <c r="BB24" s="922"/>
      <c r="BC24" s="922"/>
      <c r="BD24" s="1043">
        <f>+⑤基本情報入力!$L$12</f>
        <v>0</v>
      </c>
      <c r="BE24" s="1043"/>
      <c r="BF24" s="1043"/>
      <c r="BG24" s="1043"/>
      <c r="BH24" s="1043"/>
      <c r="BI24" s="1043"/>
      <c r="BJ24" s="1043"/>
      <c r="BK24" s="1043"/>
      <c r="BL24" s="1043"/>
      <c r="BM24" s="1043"/>
      <c r="BN24" s="1043">
        <f>+⑤基本情報入力!$V$12</f>
        <v>0</v>
      </c>
      <c r="BO24" s="1043"/>
      <c r="BP24" s="1043"/>
      <c r="BQ24" s="1043"/>
      <c r="BR24" s="1043"/>
      <c r="BS24" s="1043">
        <f>+⑤基本情報入力!$AA$12</f>
        <v>0</v>
      </c>
      <c r="BT24" s="1043"/>
      <c r="BU24" s="1043"/>
      <c r="BV24" s="1043"/>
      <c r="BW24" s="1043"/>
      <c r="BX24" s="1043">
        <f>+⑤基本情報入力!$AF$12</f>
        <v>0</v>
      </c>
      <c r="BY24" s="1043"/>
      <c r="BZ24" s="1043"/>
      <c r="CA24" s="1043"/>
      <c r="CB24" s="1043"/>
      <c r="CC24" s="1043">
        <f>+⑤基本情報入力!$AK$12</f>
        <v>0</v>
      </c>
      <c r="CD24" s="1043"/>
      <c r="CE24" s="1043"/>
      <c r="CF24" s="1043"/>
      <c r="CG24" s="1043"/>
      <c r="CH24" s="1043">
        <f>+⑤基本情報入力!$AP$12</f>
        <v>0</v>
      </c>
      <c r="CI24" s="1043"/>
      <c r="CJ24" s="1043"/>
      <c r="CK24" s="1043"/>
      <c r="CL24" s="1043"/>
      <c r="CM24" s="1043">
        <f>+⑤基本情報入力!$AU$12</f>
        <v>0</v>
      </c>
      <c r="CN24" s="1043"/>
      <c r="CO24" s="1043"/>
      <c r="CP24" s="1043"/>
      <c r="CQ24" s="1043"/>
      <c r="CR24" s="1043" t="s">
        <v>217</v>
      </c>
      <c r="CS24" s="1043"/>
      <c r="CT24" s="1043"/>
      <c r="CU24" s="1043"/>
      <c r="CV24" s="1136"/>
    </row>
    <row r="25" spans="2:100">
      <c r="B25" s="1155"/>
      <c r="C25" s="160"/>
      <c r="D25" s="1096" t="s">
        <v>207</v>
      </c>
      <c r="E25" s="1097"/>
      <c r="F25" s="1097"/>
      <c r="G25" s="1097"/>
      <c r="H25" s="1098"/>
      <c r="I25" s="161"/>
      <c r="J25" s="1099">
        <f>+'事業費（いしかわモデル）'!F205</f>
        <v>0</v>
      </c>
      <c r="K25" s="1100"/>
      <c r="L25" s="1100"/>
      <c r="M25" s="361"/>
      <c r="N25" s="256"/>
      <c r="O25" s="1099">
        <f>+'事業費（いしかわモデル）'!G205</f>
        <v>0</v>
      </c>
      <c r="P25" s="1100"/>
      <c r="Q25" s="1100"/>
      <c r="R25" s="361"/>
      <c r="S25" s="256"/>
      <c r="T25" s="1099">
        <f>+'事業費（いしかわモデル）'!H205</f>
        <v>0</v>
      </c>
      <c r="U25" s="1100"/>
      <c r="V25" s="1100"/>
      <c r="W25" s="361"/>
      <c r="X25" s="256"/>
      <c r="Y25" s="1099">
        <f>+'事業費（いしかわモデル）'!I205</f>
        <v>0</v>
      </c>
      <c r="Z25" s="1100"/>
      <c r="AA25" s="1100"/>
      <c r="AB25" s="361"/>
      <c r="AC25" s="256"/>
      <c r="AD25" s="1099">
        <f t="shared" si="3"/>
        <v>0</v>
      </c>
      <c r="AE25" s="1100"/>
      <c r="AF25" s="1100"/>
      <c r="AG25" s="361"/>
      <c r="AH25" s="256"/>
      <c r="AI25" s="1134" t="str">
        <f t="shared" si="2"/>
        <v>ERROR</v>
      </c>
      <c r="AJ25" s="1134"/>
      <c r="AK25" s="1134"/>
      <c r="AL25" s="269"/>
      <c r="AT25" s="1124"/>
      <c r="AU25" s="909" t="s">
        <v>534</v>
      </c>
      <c r="AV25" s="909"/>
      <c r="AW25" s="909"/>
      <c r="AX25" s="909"/>
      <c r="AY25" s="909"/>
      <c r="AZ25" s="909"/>
      <c r="BA25" s="909" t="s">
        <v>120</v>
      </c>
      <c r="BB25" s="909"/>
      <c r="BC25" s="909"/>
      <c r="BD25" s="1111">
        <f>IF(BD8="",'事業費（既存）'!$K$22,BD8)</f>
        <v>0</v>
      </c>
      <c r="BE25" s="1111"/>
      <c r="BF25" s="1111"/>
      <c r="BG25" s="1111"/>
      <c r="BH25" s="1111"/>
      <c r="BI25" s="1111"/>
      <c r="BJ25" s="1111"/>
      <c r="BK25" s="1111"/>
      <c r="BL25" s="1111"/>
      <c r="BM25" s="1111"/>
      <c r="BN25" s="1111">
        <f>IF(BN8="",'事業費（既存）'!$K$54,BN8)</f>
        <v>0</v>
      </c>
      <c r="BO25" s="1111"/>
      <c r="BP25" s="1111"/>
      <c r="BQ25" s="1111"/>
      <c r="BR25" s="1111"/>
      <c r="BS25" s="1152">
        <f>IF(BS8="",'事業費（既存）'!$K$84,BS8)</f>
        <v>0</v>
      </c>
      <c r="BT25" s="1153"/>
      <c r="BU25" s="1153"/>
      <c r="BV25" s="1153"/>
      <c r="BW25" s="1154"/>
      <c r="BX25" s="1152">
        <f>IF(BX8="",'事業費（既存）'!$K$114,BX8)</f>
        <v>0</v>
      </c>
      <c r="BY25" s="1153"/>
      <c r="BZ25" s="1153"/>
      <c r="CA25" s="1153"/>
      <c r="CB25" s="1154"/>
      <c r="CC25" s="1152">
        <f>IF(CC8="",'事業費（既存）'!$K$144,CC8)</f>
        <v>0</v>
      </c>
      <c r="CD25" s="1153"/>
      <c r="CE25" s="1153"/>
      <c r="CF25" s="1153"/>
      <c r="CG25" s="1154"/>
      <c r="CH25" s="1152">
        <f>IF(CH8="",'事業費（既存）'!$K$173,CH8)</f>
        <v>0</v>
      </c>
      <c r="CI25" s="1153"/>
      <c r="CJ25" s="1153"/>
      <c r="CK25" s="1153"/>
      <c r="CL25" s="1154"/>
      <c r="CM25" s="1152">
        <f>IF(CM8="",'事業費（既存）'!$K$202,CM8)</f>
        <v>0</v>
      </c>
      <c r="CN25" s="1153"/>
      <c r="CO25" s="1153"/>
      <c r="CP25" s="1153"/>
      <c r="CQ25" s="1154"/>
      <c r="CR25" s="1111">
        <f>SUM(BD25:CQ25)</f>
        <v>0</v>
      </c>
      <c r="CS25" s="1111"/>
      <c r="CT25" s="1111"/>
      <c r="CU25" s="1111"/>
      <c r="CV25" s="1141"/>
    </row>
    <row r="26" spans="2:100">
      <c r="B26" s="1155"/>
      <c r="C26" s="160"/>
      <c r="D26" s="1096" t="s">
        <v>123</v>
      </c>
      <c r="E26" s="1097"/>
      <c r="F26" s="1097"/>
      <c r="G26" s="1097"/>
      <c r="H26" s="1098"/>
      <c r="I26" s="161"/>
      <c r="J26" s="1099">
        <f>+'事業費（いしかわモデル）'!F206</f>
        <v>0</v>
      </c>
      <c r="K26" s="1100"/>
      <c r="L26" s="1100"/>
      <c r="M26" s="361"/>
      <c r="N26" s="256"/>
      <c r="O26" s="1099">
        <f>+'事業費（いしかわモデル）'!G206</f>
        <v>0</v>
      </c>
      <c r="P26" s="1100"/>
      <c r="Q26" s="1100"/>
      <c r="R26" s="363"/>
      <c r="S26" s="258"/>
      <c r="T26" s="1099">
        <f>+'事業費（いしかわモデル）'!H206</f>
        <v>0</v>
      </c>
      <c r="U26" s="1100"/>
      <c r="V26" s="1100"/>
      <c r="W26" s="361"/>
      <c r="X26" s="256"/>
      <c r="Y26" s="1099">
        <f>+'事業費（いしかわモデル）'!I206</f>
        <v>0</v>
      </c>
      <c r="Z26" s="1100"/>
      <c r="AA26" s="1100"/>
      <c r="AB26" s="361"/>
      <c r="AC26" s="256"/>
      <c r="AD26" s="1099">
        <f t="shared" si="3"/>
        <v>0</v>
      </c>
      <c r="AE26" s="1100"/>
      <c r="AF26" s="1100"/>
      <c r="AG26" s="361"/>
      <c r="AH26" s="256"/>
      <c r="AI26" s="1134" t="str">
        <f t="shared" si="2"/>
        <v>ERROR</v>
      </c>
      <c r="AJ26" s="1134"/>
      <c r="AK26" s="1134"/>
      <c r="AL26" s="269"/>
      <c r="AT26" s="1124"/>
      <c r="AU26" s="909" t="s">
        <v>543</v>
      </c>
      <c r="AV26" s="909"/>
      <c r="AW26" s="909"/>
      <c r="AX26" s="909"/>
      <c r="AY26" s="909"/>
      <c r="AZ26" s="909"/>
      <c r="BA26" s="909" t="s">
        <v>124</v>
      </c>
      <c r="BB26" s="909"/>
      <c r="BC26" s="909"/>
      <c r="BD26" s="1111">
        <f>IF(BD9="",'事業費（既存）'!I22,BD9)</f>
        <v>0</v>
      </c>
      <c r="BE26" s="1111"/>
      <c r="BF26" s="1111"/>
      <c r="BG26" s="1111"/>
      <c r="BH26" s="1111"/>
      <c r="BI26" s="1111"/>
      <c r="BJ26" s="1111"/>
      <c r="BK26" s="1111"/>
      <c r="BL26" s="1111"/>
      <c r="BM26" s="1111"/>
      <c r="BN26" s="1111">
        <f>IF(BN9="",'事業費（既存）'!I54,BN9)</f>
        <v>0</v>
      </c>
      <c r="BO26" s="1111"/>
      <c r="BP26" s="1111"/>
      <c r="BQ26" s="1111"/>
      <c r="BR26" s="1111"/>
      <c r="BS26" s="1111">
        <f>IF(BS9="",'事業費（既存）'!I84,BS9)</f>
        <v>0</v>
      </c>
      <c r="BT26" s="1111"/>
      <c r="BU26" s="1111"/>
      <c r="BV26" s="1111"/>
      <c r="BW26" s="1111"/>
      <c r="BX26" s="1111">
        <f>IF(BX9="",'事業費（既存）'!I114,BX9)</f>
        <v>0</v>
      </c>
      <c r="BY26" s="1111"/>
      <c r="BZ26" s="1111"/>
      <c r="CA26" s="1111"/>
      <c r="CB26" s="1111"/>
      <c r="CC26" s="1111">
        <f>IF(CC9="",'事業費（既存）'!I144,CC9)</f>
        <v>0</v>
      </c>
      <c r="CD26" s="1111"/>
      <c r="CE26" s="1111"/>
      <c r="CF26" s="1111"/>
      <c r="CG26" s="1111"/>
      <c r="CH26" s="1111">
        <f>IF(CH9="",'事業費（既存）'!I173,CH9)</f>
        <v>0</v>
      </c>
      <c r="CI26" s="1111"/>
      <c r="CJ26" s="1111"/>
      <c r="CK26" s="1111"/>
      <c r="CL26" s="1111"/>
      <c r="CM26" s="1111">
        <f>IF(CM9="",'事業費（既存）'!I202,CM9)</f>
        <v>0</v>
      </c>
      <c r="CN26" s="1111"/>
      <c r="CO26" s="1111"/>
      <c r="CP26" s="1111"/>
      <c r="CQ26" s="1111"/>
      <c r="CR26" s="1111">
        <f t="shared" ref="CR26:CR27" si="4">SUM(BD26:CQ26)</f>
        <v>0</v>
      </c>
      <c r="CS26" s="1111"/>
      <c r="CT26" s="1111"/>
      <c r="CU26" s="1111"/>
      <c r="CV26" s="1141"/>
    </row>
    <row r="27" spans="2:100" ht="14.25" thickBot="1">
      <c r="B27" s="1155"/>
      <c r="C27" s="160"/>
      <c r="D27" s="1201" t="s">
        <v>349</v>
      </c>
      <c r="E27" s="1202"/>
      <c r="F27" s="1203"/>
      <c r="G27" s="288" t="s">
        <v>347</v>
      </c>
      <c r="H27" s="289"/>
      <c r="I27" s="290"/>
      <c r="J27" s="1109">
        <f>SUM(J23:L26)</f>
        <v>0</v>
      </c>
      <c r="K27" s="1110"/>
      <c r="L27" s="1110"/>
      <c r="M27" s="365"/>
      <c r="N27" s="291"/>
      <c r="O27" s="1109">
        <f>SUM(O23:Q26)</f>
        <v>0</v>
      </c>
      <c r="P27" s="1110"/>
      <c r="Q27" s="1110"/>
      <c r="R27" s="365"/>
      <c r="S27" s="291"/>
      <c r="T27" s="1109">
        <f>SUM(T23:V26)</f>
        <v>0</v>
      </c>
      <c r="U27" s="1110"/>
      <c r="V27" s="1110"/>
      <c r="W27" s="365"/>
      <c r="X27" s="291"/>
      <c r="Y27" s="1109">
        <f>SUM(Y23:AA26)</f>
        <v>0</v>
      </c>
      <c r="Z27" s="1110"/>
      <c r="AA27" s="1110"/>
      <c r="AB27" s="365"/>
      <c r="AC27" s="291"/>
      <c r="AD27" s="1109">
        <f>+SUM(J27,O27,T27,Y27)</f>
        <v>0</v>
      </c>
      <c r="AE27" s="1110"/>
      <c r="AF27" s="1110"/>
      <c r="AG27" s="365"/>
      <c r="AH27" s="291"/>
      <c r="AI27" s="1150" t="str">
        <f t="shared" si="2"/>
        <v>ERROR</v>
      </c>
      <c r="AJ27" s="1151"/>
      <c r="AK27" s="1151"/>
      <c r="AL27" s="292"/>
      <c r="AT27" s="1125"/>
      <c r="AU27" s="934" t="s">
        <v>264</v>
      </c>
      <c r="AV27" s="934"/>
      <c r="AW27" s="934"/>
      <c r="AX27" s="934"/>
      <c r="AY27" s="934"/>
      <c r="AZ27" s="934"/>
      <c r="BA27" s="934" t="s">
        <v>124</v>
      </c>
      <c r="BB27" s="934"/>
      <c r="BC27" s="934"/>
      <c r="BD27" s="1135">
        <f>IF(BD10="",'事業費（既存）'!I34,BD10)</f>
        <v>0</v>
      </c>
      <c r="BE27" s="1135"/>
      <c r="BF27" s="1135"/>
      <c r="BG27" s="1135"/>
      <c r="BH27" s="1135"/>
      <c r="BI27" s="1135"/>
      <c r="BJ27" s="1135"/>
      <c r="BK27" s="1135"/>
      <c r="BL27" s="1135"/>
      <c r="BM27" s="1135"/>
      <c r="BN27" s="1135">
        <f>IF(BN10="",'事業費（既存）'!I64,BN10)</f>
        <v>0</v>
      </c>
      <c r="BO27" s="1135"/>
      <c r="BP27" s="1135"/>
      <c r="BQ27" s="1135"/>
      <c r="BR27" s="1135"/>
      <c r="BS27" s="1135">
        <f>IF(BS10="",'事業費（既存）'!I94,BS10)</f>
        <v>0</v>
      </c>
      <c r="BT27" s="1135"/>
      <c r="BU27" s="1135"/>
      <c r="BV27" s="1135"/>
      <c r="BW27" s="1135"/>
      <c r="BX27" s="1135">
        <f>IF(BX10="",'事業費（既存）'!I124,BX10)</f>
        <v>0</v>
      </c>
      <c r="BY27" s="1135"/>
      <c r="BZ27" s="1135"/>
      <c r="CA27" s="1135"/>
      <c r="CB27" s="1135"/>
      <c r="CC27" s="1135">
        <f>IF(CC10="",'事業費（既存）'!I154,CC10)</f>
        <v>0</v>
      </c>
      <c r="CD27" s="1135"/>
      <c r="CE27" s="1135"/>
      <c r="CF27" s="1135"/>
      <c r="CG27" s="1135"/>
      <c r="CH27" s="1135">
        <f>IF(CH10="",'事業費（既存）'!I183,CH10)</f>
        <v>0</v>
      </c>
      <c r="CI27" s="1135"/>
      <c r="CJ27" s="1135"/>
      <c r="CK27" s="1135"/>
      <c r="CL27" s="1135"/>
      <c r="CM27" s="1135">
        <f>IF(CM10="",'事業費（既存）'!I212,CM10)</f>
        <v>0</v>
      </c>
      <c r="CN27" s="1135"/>
      <c r="CO27" s="1135"/>
      <c r="CP27" s="1135"/>
      <c r="CQ27" s="1135"/>
      <c r="CR27" s="1135">
        <f t="shared" si="4"/>
        <v>0</v>
      </c>
      <c r="CS27" s="1135"/>
      <c r="CT27" s="1135"/>
      <c r="CU27" s="1135"/>
      <c r="CV27" s="1142"/>
    </row>
    <row r="28" spans="2:100" ht="14.25" thickBot="1">
      <c r="B28" s="1156"/>
      <c r="C28" s="165"/>
      <c r="D28" s="1106"/>
      <c r="E28" s="1107"/>
      <c r="F28" s="1108"/>
      <c r="G28" s="293" t="s">
        <v>348</v>
      </c>
      <c r="H28" s="294"/>
      <c r="I28" s="295"/>
      <c r="J28" s="1146">
        <f>J23*0.45+J24+J25+J26</f>
        <v>0</v>
      </c>
      <c r="K28" s="1147"/>
      <c r="L28" s="1147"/>
      <c r="M28" s="364"/>
      <c r="N28" s="296"/>
      <c r="O28" s="1146">
        <f>O23*0.67+O24+O25+O26</f>
        <v>0</v>
      </c>
      <c r="P28" s="1147"/>
      <c r="Q28" s="1147"/>
      <c r="R28" s="364"/>
      <c r="S28" s="296"/>
      <c r="T28" s="1146">
        <f>T23+T24+T25+T26</f>
        <v>0</v>
      </c>
      <c r="U28" s="1147"/>
      <c r="V28" s="1147"/>
      <c r="W28" s="364"/>
      <c r="X28" s="296"/>
      <c r="Y28" s="1146">
        <f>Y23+Y24+Y25+Y26</f>
        <v>0</v>
      </c>
      <c r="Z28" s="1147"/>
      <c r="AA28" s="1147"/>
      <c r="AB28" s="364"/>
      <c r="AC28" s="296"/>
      <c r="AD28" s="1146">
        <f>+SUM(J28,O28,T28,Y28)</f>
        <v>0</v>
      </c>
      <c r="AE28" s="1147"/>
      <c r="AF28" s="1147"/>
      <c r="AG28" s="364"/>
      <c r="AH28" s="296"/>
      <c r="AI28" s="1148" t="str">
        <f t="shared" si="2"/>
        <v>ERROR</v>
      </c>
      <c r="AJ28" s="1149"/>
      <c r="AK28" s="1149"/>
      <c r="AL28" s="297"/>
      <c r="AT28" s="437"/>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436"/>
    </row>
    <row r="29" spans="2:100">
      <c r="AT29" s="1010" t="s">
        <v>23</v>
      </c>
      <c r="AU29" s="1011"/>
      <c r="AV29" s="1011"/>
      <c r="AW29" s="1011"/>
      <c r="AX29" s="1011"/>
      <c r="AY29" s="1011"/>
      <c r="AZ29" s="1011"/>
      <c r="BA29" s="1011" t="s">
        <v>24</v>
      </c>
      <c r="BB29" s="1011"/>
      <c r="BC29" s="1011"/>
      <c r="BD29" s="1011" t="s">
        <v>321</v>
      </c>
      <c r="BE29" s="1011"/>
      <c r="BF29" s="1011"/>
      <c r="BG29" s="1011"/>
      <c r="BH29" s="1011"/>
      <c r="BI29" s="1011" t="s">
        <v>322</v>
      </c>
      <c r="BJ29" s="1011"/>
      <c r="BK29" s="1011"/>
      <c r="BL29" s="1011"/>
      <c r="BM29" s="1011"/>
      <c r="BN29" s="1011" t="s">
        <v>323</v>
      </c>
      <c r="BO29" s="1011"/>
      <c r="BP29" s="1011"/>
      <c r="BQ29" s="1011"/>
      <c r="BR29" s="1011"/>
      <c r="BS29" s="1011"/>
      <c r="BT29" s="1011"/>
      <c r="BU29" s="1011"/>
      <c r="BV29" s="1011"/>
      <c r="BW29" s="1020"/>
      <c r="BX29" s="1"/>
      <c r="BY29" s="1"/>
      <c r="BZ29" s="1"/>
      <c r="CA29" s="1"/>
      <c r="CB29" s="1"/>
      <c r="CC29" s="1"/>
      <c r="CD29" s="1"/>
      <c r="CE29" s="1"/>
      <c r="CF29" s="1"/>
      <c r="CG29" s="1"/>
      <c r="CH29" s="1"/>
      <c r="CI29" s="1"/>
      <c r="CJ29" s="1"/>
      <c r="CK29" s="1"/>
      <c r="CL29" s="1"/>
      <c r="CM29" s="1"/>
      <c r="CN29" s="1"/>
      <c r="CO29" s="1"/>
      <c r="CP29" s="1"/>
      <c r="CQ29" s="1"/>
      <c r="CR29" s="1"/>
      <c r="CS29" s="1"/>
      <c r="CT29" s="1"/>
      <c r="CU29" s="1"/>
      <c r="CV29" s="436"/>
    </row>
    <row r="30" spans="2:100" ht="14.25" thickBot="1">
      <c r="B30" t="s">
        <v>712</v>
      </c>
      <c r="AT30" s="1124" t="s">
        <v>533</v>
      </c>
      <c r="AU30" s="922" t="s">
        <v>275</v>
      </c>
      <c r="AV30" s="922"/>
      <c r="AW30" s="922"/>
      <c r="AX30" s="922"/>
      <c r="AY30" s="922"/>
      <c r="AZ30" s="922"/>
      <c r="BA30" s="922" t="s">
        <v>217</v>
      </c>
      <c r="BB30" s="922"/>
      <c r="BC30" s="922"/>
      <c r="BD30" s="1043">
        <f>+⑤基本情報入力!$L$29</f>
        <v>0</v>
      </c>
      <c r="BE30" s="1043"/>
      <c r="BF30" s="1043"/>
      <c r="BG30" s="1043"/>
      <c r="BH30" s="1043"/>
      <c r="BI30" s="1043">
        <f>+⑤基本情報入力!$Q$29</f>
        <v>0</v>
      </c>
      <c r="BJ30" s="1043"/>
      <c r="BK30" s="1043"/>
      <c r="BL30" s="1043"/>
      <c r="BM30" s="1043"/>
      <c r="BN30" s="1043">
        <f>+⑤基本情報入力!$V$29</f>
        <v>0</v>
      </c>
      <c r="BO30" s="1043"/>
      <c r="BP30" s="1043"/>
      <c r="BQ30" s="1043"/>
      <c r="BR30" s="1043"/>
      <c r="BS30" s="922" t="s">
        <v>39</v>
      </c>
      <c r="BT30" s="922"/>
      <c r="BU30" s="922"/>
      <c r="BV30" s="922"/>
      <c r="BW30" s="1061"/>
      <c r="BX30" s="1"/>
      <c r="BY30" s="1"/>
      <c r="BZ30" s="1"/>
      <c r="CA30" s="1"/>
      <c r="CB30" s="1"/>
      <c r="CC30" s="1"/>
      <c r="CD30" s="1"/>
      <c r="CE30" s="1"/>
      <c r="CF30" s="1"/>
      <c r="CG30" s="1"/>
      <c r="CH30" s="1"/>
      <c r="CI30" s="1"/>
      <c r="CJ30" s="1"/>
      <c r="CK30" s="1"/>
      <c r="CL30" s="1"/>
      <c r="CM30" s="1"/>
      <c r="CN30" s="1"/>
      <c r="CO30" s="1"/>
      <c r="CP30" s="1"/>
      <c r="CQ30" s="1"/>
      <c r="CR30" s="1"/>
      <c r="CS30" s="1"/>
      <c r="CT30" s="1"/>
      <c r="CU30" s="1"/>
      <c r="CV30" s="436"/>
    </row>
    <row r="31" spans="2:100">
      <c r="B31" s="508"/>
      <c r="C31" s="1194" t="s">
        <v>720</v>
      </c>
      <c r="D31" s="1194"/>
      <c r="E31" s="1194"/>
      <c r="F31" s="1194"/>
      <c r="G31" s="1194"/>
      <c r="H31" s="1194"/>
      <c r="I31" s="1194"/>
      <c r="J31" s="1194"/>
      <c r="K31" s="1194"/>
      <c r="L31" s="1194"/>
      <c r="M31" s="1195"/>
      <c r="AT31" s="1124"/>
      <c r="AU31" s="909" t="s">
        <v>158</v>
      </c>
      <c r="AV31" s="909"/>
      <c r="AW31" s="909"/>
      <c r="AX31" s="909"/>
      <c r="AY31" s="909"/>
      <c r="AZ31" s="909"/>
      <c r="BA31" s="909" t="s">
        <v>148</v>
      </c>
      <c r="BB31" s="909"/>
      <c r="BC31" s="909"/>
      <c r="BD31" s="922" t="s">
        <v>541</v>
      </c>
      <c r="BE31" s="922"/>
      <c r="BF31" s="922"/>
      <c r="BG31" s="922"/>
      <c r="BH31" s="922"/>
      <c r="BI31" s="922"/>
      <c r="BJ31" s="922"/>
      <c r="BK31" s="922"/>
      <c r="BL31" s="922"/>
      <c r="BM31" s="922"/>
      <c r="BN31" s="922" t="s">
        <v>542</v>
      </c>
      <c r="BO31" s="922"/>
      <c r="BP31" s="922"/>
      <c r="BQ31" s="922"/>
      <c r="BR31" s="922"/>
      <c r="BS31" s="1043" t="s">
        <v>217</v>
      </c>
      <c r="BT31" s="1043"/>
      <c r="BU31" s="1043"/>
      <c r="BV31" s="1043"/>
      <c r="BW31" s="1136"/>
      <c r="BX31" s="1"/>
      <c r="BY31" s="1"/>
      <c r="BZ31" s="1"/>
      <c r="CA31" s="1"/>
      <c r="CB31" s="1"/>
      <c r="CC31" s="1"/>
      <c r="CD31" s="1"/>
      <c r="CE31" s="1"/>
      <c r="CF31" s="1"/>
      <c r="CG31" s="1"/>
      <c r="CH31" s="1"/>
      <c r="CI31" s="1"/>
      <c r="CJ31" s="1"/>
      <c r="CK31" s="1"/>
      <c r="CL31" s="1"/>
      <c r="CM31" s="1"/>
      <c r="CN31" s="1"/>
      <c r="CO31" s="1"/>
      <c r="CP31" s="1"/>
      <c r="CQ31" s="1"/>
      <c r="CR31" s="1"/>
      <c r="CS31" s="1"/>
      <c r="CT31" s="1"/>
      <c r="CU31" s="1"/>
      <c r="CV31" s="436"/>
    </row>
    <row r="32" spans="2:100" ht="14.25">
      <c r="B32" s="509"/>
      <c r="C32" s="1193" t="s">
        <v>643</v>
      </c>
      <c r="D32" s="1193"/>
      <c r="E32" s="1193"/>
      <c r="F32" s="1193"/>
      <c r="G32" s="1193"/>
      <c r="H32" s="1193"/>
      <c r="I32" s="1193"/>
      <c r="J32" s="1163" t="str">
        <f>IF(⑤基本情報入力!E93="〇",'物質収支（いしかわモデル）'!X37*365,"―")</f>
        <v>―</v>
      </c>
      <c r="K32" s="1164"/>
      <c r="L32" s="1164"/>
      <c r="M32" s="1165"/>
      <c r="AT32" s="1124"/>
      <c r="AU32" s="940" t="s">
        <v>534</v>
      </c>
      <c r="AV32" s="941"/>
      <c r="AW32" s="941"/>
      <c r="AX32" s="941"/>
      <c r="AY32" s="941"/>
      <c r="AZ32" s="942"/>
      <c r="BA32" s="940" t="s">
        <v>120</v>
      </c>
      <c r="BB32" s="941"/>
      <c r="BC32" s="942"/>
      <c r="BD32" s="1152">
        <f>IF(BD15="",'事業費（既存）'!K224,BD15)</f>
        <v>0</v>
      </c>
      <c r="BE32" s="1153"/>
      <c r="BF32" s="1153"/>
      <c r="BG32" s="1153"/>
      <c r="BH32" s="1153"/>
      <c r="BI32" s="1153"/>
      <c r="BJ32" s="1153"/>
      <c r="BK32" s="1153"/>
      <c r="BL32" s="1153"/>
      <c r="BM32" s="1154"/>
      <c r="BN32" s="1152">
        <f>IF(BN15="",0,BN15)</f>
        <v>0</v>
      </c>
      <c r="BO32" s="1153"/>
      <c r="BP32" s="1153"/>
      <c r="BQ32" s="1153"/>
      <c r="BR32" s="1154"/>
      <c r="BS32" s="1152">
        <f>SUM(BD32:BM32)</f>
        <v>0</v>
      </c>
      <c r="BT32" s="1153"/>
      <c r="BU32" s="1153"/>
      <c r="BV32" s="1153"/>
      <c r="BW32" s="1173"/>
      <c r="BX32" s="1"/>
      <c r="BY32" s="1"/>
      <c r="BZ32" s="1"/>
      <c r="CA32" s="1"/>
      <c r="CB32" s="1"/>
      <c r="CC32" s="1"/>
      <c r="CD32" s="1"/>
      <c r="CE32" s="1"/>
      <c r="CF32" s="1"/>
      <c r="CG32" s="1"/>
      <c r="CH32" s="1"/>
      <c r="CI32" s="1"/>
      <c r="CJ32" s="1"/>
      <c r="CK32" s="1"/>
      <c r="CL32" s="1"/>
      <c r="CM32" s="1"/>
      <c r="CN32" s="1"/>
      <c r="CO32" s="1"/>
      <c r="CP32" s="1"/>
      <c r="CQ32" s="1"/>
      <c r="CR32" s="1"/>
      <c r="CS32" s="1"/>
      <c r="CT32" s="1"/>
      <c r="CU32" s="1"/>
      <c r="CV32" s="436"/>
    </row>
    <row r="33" spans="2:100" ht="15" customHeight="1" thickBot="1">
      <c r="B33" s="510"/>
      <c r="C33" s="1183" t="s">
        <v>708</v>
      </c>
      <c r="D33" s="1183"/>
      <c r="E33" s="1183"/>
      <c r="F33" s="1183"/>
      <c r="G33" s="1183"/>
      <c r="H33" s="1183"/>
      <c r="I33" s="1183"/>
      <c r="J33" s="1167" t="str">
        <f>IF(⑤基本情報入力!E94="〇",'物質収支（いしかわモデル）'!$X$44*365,"―")</f>
        <v>―</v>
      </c>
      <c r="K33" s="1167"/>
      <c r="L33" s="1167"/>
      <c r="M33" s="1168"/>
      <c r="AT33" s="1124"/>
      <c r="AU33" s="940" t="s">
        <v>543</v>
      </c>
      <c r="AV33" s="941"/>
      <c r="AW33" s="941"/>
      <c r="AX33" s="941"/>
      <c r="AY33" s="941"/>
      <c r="AZ33" s="942"/>
      <c r="BA33" s="940" t="s">
        <v>124</v>
      </c>
      <c r="BB33" s="941"/>
      <c r="BC33" s="942"/>
      <c r="BD33" s="1152">
        <f>IF(BD16="",'事業費（既存）'!I224,BD16)</f>
        <v>0</v>
      </c>
      <c r="BE33" s="1153"/>
      <c r="BF33" s="1153"/>
      <c r="BG33" s="1153"/>
      <c r="BH33" s="1153"/>
      <c r="BI33" s="1153"/>
      <c r="BJ33" s="1153"/>
      <c r="BK33" s="1153"/>
      <c r="BL33" s="1153"/>
      <c r="BM33" s="1154"/>
      <c r="BN33" s="1152">
        <f>IF(BN16="",0,BN16)</f>
        <v>0</v>
      </c>
      <c r="BO33" s="1153"/>
      <c r="BP33" s="1153"/>
      <c r="BQ33" s="1153"/>
      <c r="BR33" s="1154"/>
      <c r="BS33" s="1152">
        <f>SUM(BD33:BM33)</f>
        <v>0</v>
      </c>
      <c r="BT33" s="1153"/>
      <c r="BU33" s="1153"/>
      <c r="BV33" s="1153"/>
      <c r="BW33" s="1173"/>
      <c r="BX33" s="1"/>
      <c r="BY33" s="1"/>
      <c r="BZ33" s="1"/>
      <c r="CA33" s="1"/>
      <c r="CB33" s="1"/>
      <c r="CC33" s="1"/>
      <c r="CD33" s="1"/>
      <c r="CE33" s="1"/>
      <c r="CF33" s="1"/>
      <c r="CG33" s="1"/>
      <c r="CH33" s="1"/>
      <c r="CI33" s="1"/>
      <c r="CJ33" s="1"/>
      <c r="CK33" s="1"/>
      <c r="CL33" s="1"/>
      <c r="CM33" s="1"/>
      <c r="CN33" s="1"/>
      <c r="CO33" s="1"/>
      <c r="CP33" s="1"/>
      <c r="CQ33" s="1"/>
      <c r="CR33" s="1"/>
      <c r="CS33" s="1"/>
      <c r="CT33" s="1"/>
      <c r="CU33" s="1"/>
      <c r="CV33" s="436"/>
    </row>
    <row r="34" spans="2:100" ht="14.25" thickBot="1">
      <c r="AT34" s="1125"/>
      <c r="AU34" s="934" t="s">
        <v>264</v>
      </c>
      <c r="AV34" s="934"/>
      <c r="AW34" s="934"/>
      <c r="AX34" s="934"/>
      <c r="AY34" s="934"/>
      <c r="AZ34" s="934"/>
      <c r="BA34" s="934" t="s">
        <v>124</v>
      </c>
      <c r="BB34" s="934"/>
      <c r="BC34" s="934"/>
      <c r="BD34" s="1135">
        <f>IF(BD17="",'事業費（既存）'!I227,BD17)</f>
        <v>0</v>
      </c>
      <c r="BE34" s="1135"/>
      <c r="BF34" s="1135"/>
      <c r="BG34" s="1135"/>
      <c r="BH34" s="1135"/>
      <c r="BI34" s="1135"/>
      <c r="BJ34" s="1135"/>
      <c r="BK34" s="1135"/>
      <c r="BL34" s="1135"/>
      <c r="BM34" s="1135"/>
      <c r="BN34" s="1135">
        <f>IF(BN17="",0,BN17)</f>
        <v>0</v>
      </c>
      <c r="BO34" s="1135"/>
      <c r="BP34" s="1135"/>
      <c r="BQ34" s="1135"/>
      <c r="BR34" s="1135"/>
      <c r="BS34" s="1135">
        <f>SUM(BD34:BM34)</f>
        <v>0</v>
      </c>
      <c r="BT34" s="1135"/>
      <c r="BU34" s="1135"/>
      <c r="BV34" s="1135"/>
      <c r="BW34" s="1142"/>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438"/>
    </row>
    <row r="35" spans="2:100" ht="14.25" thickBot="1">
      <c r="AT35" s="506"/>
      <c r="AU35" s="497"/>
      <c r="AV35" s="497"/>
      <c r="AW35" s="497"/>
      <c r="AX35" s="497"/>
      <c r="AY35" s="497"/>
      <c r="AZ35" s="497"/>
      <c r="BA35" s="497"/>
      <c r="BB35" s="497"/>
      <c r="BC35" s="497"/>
      <c r="BD35" s="507"/>
      <c r="BE35" s="507"/>
      <c r="BF35" s="507"/>
      <c r="BG35" s="507"/>
      <c r="BH35" s="507"/>
      <c r="BI35" s="507"/>
      <c r="BJ35" s="507"/>
      <c r="BK35" s="507"/>
      <c r="BL35" s="507"/>
      <c r="BM35" s="507"/>
      <c r="BN35" s="507"/>
      <c r="BO35" s="507"/>
      <c r="BP35" s="507"/>
      <c r="BQ35" s="507"/>
      <c r="BR35" s="507"/>
      <c r="BS35" s="507"/>
      <c r="BT35" s="507"/>
      <c r="BU35" s="507"/>
      <c r="BV35" s="507"/>
      <c r="BW35" s="507"/>
      <c r="BX35" s="1"/>
      <c r="BY35" s="1"/>
      <c r="BZ35" s="1"/>
      <c r="CA35" s="1"/>
      <c r="CB35" s="1"/>
      <c r="CC35" s="1"/>
      <c r="CD35" s="1"/>
      <c r="CE35" s="1"/>
      <c r="CF35" s="1"/>
      <c r="CG35" s="1"/>
      <c r="CH35" s="1"/>
      <c r="CI35" s="1"/>
      <c r="CJ35" s="1"/>
      <c r="CK35" s="1"/>
      <c r="CL35" s="1"/>
      <c r="CM35" s="1"/>
      <c r="CN35" s="1"/>
      <c r="CO35" s="1"/>
      <c r="CP35" s="1"/>
      <c r="CQ35" s="1"/>
      <c r="CR35" s="1"/>
      <c r="CS35" s="1"/>
      <c r="CT35" s="1"/>
      <c r="CU35" s="1"/>
      <c r="CV35" s="1"/>
    </row>
    <row r="36" spans="2:100" ht="14.25" customHeight="1">
      <c r="B36" s="1184" t="s">
        <v>511</v>
      </c>
      <c r="C36" s="1185"/>
      <c r="D36" s="1185"/>
      <c r="E36" s="1174" t="str">
        <f>IF(AI27="ERROR","",IF(AI27&lt;AI14,"「いしかわモデル」の導入による、事業費の低減が期待できます。","「いしかわモデル」導入の事業費が既存処理体系の事業費を上回っています。
以下の対応により、「いしかわモデル」導入における課題を解消できる可能性があります。"))</f>
        <v/>
      </c>
      <c r="F36" s="1175"/>
      <c r="G36" s="1175"/>
      <c r="H36" s="1175"/>
      <c r="I36" s="1175"/>
      <c r="J36" s="1175"/>
      <c r="K36" s="1175"/>
      <c r="L36" s="1175"/>
      <c r="M36" s="1175"/>
      <c r="N36" s="1175"/>
      <c r="O36" s="1175"/>
      <c r="P36" s="1175"/>
      <c r="Q36" s="1175"/>
      <c r="R36" s="1175"/>
      <c r="S36" s="1175"/>
      <c r="T36" s="1175"/>
      <c r="U36" s="1175"/>
      <c r="V36" s="1175"/>
      <c r="W36" s="1175"/>
      <c r="X36" s="1175"/>
      <c r="Y36" s="1176"/>
      <c r="AT36" s="506"/>
      <c r="AU36" s="497"/>
      <c r="AV36" s="497"/>
      <c r="AW36" s="497"/>
      <c r="AX36" s="497"/>
      <c r="AY36" s="497"/>
      <c r="AZ36" s="497"/>
      <c r="BA36" s="497"/>
      <c r="BB36" s="497"/>
      <c r="BC36" s="497"/>
      <c r="BD36" s="507"/>
      <c r="BE36" s="507"/>
      <c r="BF36" s="507"/>
      <c r="BG36" s="507"/>
      <c r="BH36" s="507"/>
      <c r="BI36" s="507"/>
      <c r="BJ36" s="507"/>
      <c r="BK36" s="507"/>
      <c r="BL36" s="507"/>
      <c r="BM36" s="507"/>
      <c r="BN36" s="507"/>
      <c r="BO36" s="507"/>
      <c r="BP36" s="507"/>
      <c r="BQ36" s="507"/>
      <c r="BR36" s="507"/>
      <c r="BS36" s="507"/>
      <c r="BT36" s="507"/>
      <c r="BU36" s="507"/>
      <c r="BV36" s="507"/>
      <c r="BW36" s="507"/>
      <c r="BX36" s="1"/>
      <c r="BY36" s="1"/>
      <c r="BZ36" s="1"/>
      <c r="CA36" s="1"/>
      <c r="CB36" s="1"/>
      <c r="CC36" s="1"/>
      <c r="CD36" s="1"/>
      <c r="CE36" s="1"/>
      <c r="CF36" s="1"/>
      <c r="CG36" s="1"/>
      <c r="CH36" s="1"/>
      <c r="CI36" s="1"/>
      <c r="CJ36" s="1"/>
      <c r="CK36" s="1"/>
      <c r="CL36" s="1"/>
      <c r="CM36" s="1"/>
      <c r="CN36" s="1"/>
      <c r="CO36" s="1"/>
      <c r="CP36" s="1"/>
      <c r="CQ36" s="1"/>
      <c r="CR36" s="1"/>
      <c r="CS36" s="1"/>
      <c r="CT36" s="1"/>
      <c r="CU36" s="1"/>
      <c r="CV36" s="1"/>
    </row>
    <row r="37" spans="2:100" ht="14.25" customHeight="1" thickBot="1">
      <c r="B37" s="1186"/>
      <c r="C37" s="1187"/>
      <c r="D37" s="1187"/>
      <c r="E37" s="1177"/>
      <c r="F37" s="1178"/>
      <c r="G37" s="1178"/>
      <c r="H37" s="1178"/>
      <c r="I37" s="1178"/>
      <c r="J37" s="1178"/>
      <c r="K37" s="1178"/>
      <c r="L37" s="1178"/>
      <c r="M37" s="1178"/>
      <c r="N37" s="1178"/>
      <c r="O37" s="1178"/>
      <c r="P37" s="1178"/>
      <c r="Q37" s="1178"/>
      <c r="R37" s="1178"/>
      <c r="S37" s="1178"/>
      <c r="T37" s="1178"/>
      <c r="U37" s="1178"/>
      <c r="V37" s="1178"/>
      <c r="W37" s="1178"/>
      <c r="X37" s="1178"/>
      <c r="Y37" s="1179"/>
    </row>
    <row r="38" spans="2:100" ht="14.25" customHeight="1">
      <c r="B38" s="1188" t="str">
        <f>IF(E36="「いしかわモデル」導入の事業費が既存処理体系の事業費を上回っています。
以下の対応により、「いしかわモデル」導入における課題を解消できる可能性があります。","⇒","")</f>
        <v/>
      </c>
      <c r="C38" s="1188"/>
      <c r="D38" s="1188"/>
      <c r="E38" s="1180" t="str">
        <f>IF(E36="「いしかわモデル」導入の事業費が既存処理体系の事業費を上回っています。
以下の対応により、「いしかわモデル」導入における課題を解消できる可能性があります。","〇集約対象施設・範囲の見直しによる下水汚泥の収集運搬費及び処分費の低減
〇投入バイオマスの高濃度化による設備の小型化、建設コストの低減
〇補助事業の活用による建設コストの低減","")</f>
        <v/>
      </c>
      <c r="F38" s="1180"/>
      <c r="G38" s="1180"/>
      <c r="H38" s="1180"/>
      <c r="I38" s="1180"/>
      <c r="J38" s="1180"/>
      <c r="K38" s="1180"/>
      <c r="L38" s="1180"/>
      <c r="M38" s="1180"/>
      <c r="N38" s="1180"/>
      <c r="O38" s="1180"/>
      <c r="P38" s="1180"/>
      <c r="Q38" s="1180"/>
      <c r="R38" s="1180"/>
      <c r="S38" s="1180"/>
      <c r="T38" s="1180"/>
      <c r="U38" s="1180"/>
      <c r="V38" s="1180"/>
      <c r="W38" s="1180"/>
      <c r="X38" s="1180"/>
      <c r="Y38" s="1180"/>
    </row>
    <row r="39" spans="2:100" ht="14.25" customHeight="1">
      <c r="B39" s="1189"/>
      <c r="C39" s="1189"/>
      <c r="D39" s="1189"/>
      <c r="E39" s="1181"/>
      <c r="F39" s="1181"/>
      <c r="G39" s="1181"/>
      <c r="H39" s="1181"/>
      <c r="I39" s="1181"/>
      <c r="J39" s="1181"/>
      <c r="K39" s="1181"/>
      <c r="L39" s="1181"/>
      <c r="M39" s="1181"/>
      <c r="N39" s="1181"/>
      <c r="O39" s="1181"/>
      <c r="P39" s="1181"/>
      <c r="Q39" s="1181"/>
      <c r="R39" s="1181"/>
      <c r="S39" s="1181"/>
      <c r="T39" s="1181"/>
      <c r="U39" s="1181"/>
      <c r="V39" s="1181"/>
      <c r="W39" s="1181"/>
      <c r="X39" s="1181"/>
      <c r="Y39" s="1181"/>
    </row>
    <row r="40" spans="2:100" ht="14.25" customHeight="1">
      <c r="B40" s="1189"/>
      <c r="C40" s="1189"/>
      <c r="D40" s="1189"/>
      <c r="E40" s="1181"/>
      <c r="F40" s="1181"/>
      <c r="G40" s="1181"/>
      <c r="H40" s="1181"/>
      <c r="I40" s="1181"/>
      <c r="J40" s="1181"/>
      <c r="K40" s="1181"/>
      <c r="L40" s="1181"/>
      <c r="M40" s="1181"/>
      <c r="N40" s="1181"/>
      <c r="O40" s="1181"/>
      <c r="P40" s="1181"/>
      <c r="Q40" s="1181"/>
      <c r="R40" s="1181"/>
      <c r="S40" s="1181"/>
      <c r="T40" s="1181"/>
      <c r="U40" s="1181"/>
      <c r="V40" s="1181"/>
      <c r="W40" s="1181"/>
      <c r="X40" s="1181"/>
      <c r="Y40" s="1181"/>
    </row>
    <row r="41" spans="2:100" ht="14.25" customHeight="1">
      <c r="B41" s="498"/>
      <c r="C41" s="498"/>
      <c r="D41" s="498"/>
      <c r="E41" s="499"/>
      <c r="F41" s="499"/>
      <c r="G41" s="499"/>
      <c r="H41" s="499"/>
      <c r="I41" s="499"/>
      <c r="J41" s="499"/>
      <c r="K41" s="499"/>
      <c r="L41" s="499"/>
      <c r="M41" s="499"/>
      <c r="N41" s="499"/>
      <c r="O41" s="499"/>
      <c r="P41" s="499"/>
      <c r="Q41" s="499"/>
      <c r="R41" s="499"/>
      <c r="S41" s="499"/>
      <c r="T41" s="499"/>
      <c r="U41" s="499"/>
      <c r="V41" s="499"/>
      <c r="W41" s="499"/>
      <c r="X41" s="499"/>
      <c r="Y41" s="499"/>
    </row>
    <row r="42" spans="2:100" ht="14.25" customHeight="1">
      <c r="Z42" s="298"/>
      <c r="AA42" s="298"/>
      <c r="AB42" s="298"/>
      <c r="AC42" s="298"/>
    </row>
    <row r="43" spans="2:100" ht="14.25" customHeight="1">
      <c r="Z43" s="298"/>
      <c r="AA43" s="298"/>
      <c r="AB43" s="298"/>
      <c r="AC43" s="298"/>
    </row>
    <row r="44" spans="2:100" ht="14.25" customHeight="1">
      <c r="Z44" s="298"/>
      <c r="AA44" s="298"/>
      <c r="AB44" s="298"/>
      <c r="AC44" s="298"/>
    </row>
    <row r="45" spans="2:100" ht="14.25" customHeight="1">
      <c r="Z45" s="298"/>
      <c r="AA45" s="298"/>
      <c r="AB45" s="298"/>
      <c r="AC45" s="298"/>
    </row>
    <row r="46" spans="2:100" ht="14.25" customHeight="1">
      <c r="Z46" s="299"/>
      <c r="AA46" s="299"/>
      <c r="AB46" s="299"/>
      <c r="AC46" s="299"/>
    </row>
    <row r="47" spans="2:100" ht="14.25" customHeight="1">
      <c r="Z47" s="299"/>
      <c r="AA47" s="299"/>
      <c r="AB47" s="299"/>
      <c r="AC47" s="299"/>
    </row>
    <row r="48" spans="2:100" ht="14.25" customHeight="1">
      <c r="Z48" s="299"/>
      <c r="AA48" s="299"/>
      <c r="AB48" s="299"/>
      <c r="AC48" s="299"/>
    </row>
    <row r="49" ht="14.25" customHeight="1"/>
    <row r="70" ht="14.25" customHeight="1"/>
    <row r="72" ht="14.25" customHeight="1"/>
    <row r="75" ht="13.5" customHeight="1"/>
    <row r="76" ht="14.25" customHeight="1"/>
  </sheetData>
  <mergeCells count="351">
    <mergeCell ref="AO4:AR4"/>
    <mergeCell ref="AT4:CV4"/>
    <mergeCell ref="AT21:CV21"/>
    <mergeCell ref="B38:D40"/>
    <mergeCell ref="E38:Y40"/>
    <mergeCell ref="T28:V28"/>
    <mergeCell ref="Y28:AA28"/>
    <mergeCell ref="AD28:AF28"/>
    <mergeCell ref="AI28:AK28"/>
    <mergeCell ref="B36:D37"/>
    <mergeCell ref="E36:Y37"/>
    <mergeCell ref="AI26:AK26"/>
    <mergeCell ref="D27:F28"/>
    <mergeCell ref="J27:L27"/>
    <mergeCell ref="O27:Q27"/>
    <mergeCell ref="T27:V27"/>
    <mergeCell ref="Y27:AA27"/>
    <mergeCell ref="AD27:AF27"/>
    <mergeCell ref="AI27:AK27"/>
    <mergeCell ref="J28:L28"/>
    <mergeCell ref="O28:Q28"/>
    <mergeCell ref="D26:H26"/>
    <mergeCell ref="J26:L26"/>
    <mergeCell ref="O26:Q26"/>
    <mergeCell ref="T26:V26"/>
    <mergeCell ref="Y26:AA26"/>
    <mergeCell ref="AD26:AF26"/>
    <mergeCell ref="AD25:AF25"/>
    <mergeCell ref="D20:F21"/>
    <mergeCell ref="G20:H20"/>
    <mergeCell ref="J20:L20"/>
    <mergeCell ref="O20:Q20"/>
    <mergeCell ref="T20:V20"/>
    <mergeCell ref="Y20:AA20"/>
    <mergeCell ref="AD20:AF20"/>
    <mergeCell ref="AI21:AK21"/>
    <mergeCell ref="B17:AL17"/>
    <mergeCell ref="B18:AL18"/>
    <mergeCell ref="B19:B28"/>
    <mergeCell ref="C19:H19"/>
    <mergeCell ref="J19:N19"/>
    <mergeCell ref="O19:S19"/>
    <mergeCell ref="T19:X19"/>
    <mergeCell ref="Y19:AC19"/>
    <mergeCell ref="AD19:AH19"/>
    <mergeCell ref="AI19:AL19"/>
    <mergeCell ref="AI24:AK24"/>
    <mergeCell ref="D25:H25"/>
    <mergeCell ref="J25:L25"/>
    <mergeCell ref="O25:Q25"/>
    <mergeCell ref="T25:V25"/>
    <mergeCell ref="Y25:AA25"/>
    <mergeCell ref="AI25:AK25"/>
    <mergeCell ref="D24:H24"/>
    <mergeCell ref="J24:L24"/>
    <mergeCell ref="O24:Q24"/>
    <mergeCell ref="T24:V24"/>
    <mergeCell ref="Y24:AA24"/>
    <mergeCell ref="AD24:AF24"/>
    <mergeCell ref="BS12:BW12"/>
    <mergeCell ref="D13:H13"/>
    <mergeCell ref="J13:L13"/>
    <mergeCell ref="AI22:AL22"/>
    <mergeCell ref="D23:H23"/>
    <mergeCell ref="J23:L23"/>
    <mergeCell ref="O23:Q23"/>
    <mergeCell ref="T23:V23"/>
    <mergeCell ref="J22:N22"/>
    <mergeCell ref="O22:S22"/>
    <mergeCell ref="T22:X22"/>
    <mergeCell ref="Y22:AC22"/>
    <mergeCell ref="AD22:AH22"/>
    <mergeCell ref="Y23:AA23"/>
    <mergeCell ref="AD23:AF23"/>
    <mergeCell ref="AI23:AK23"/>
    <mergeCell ref="C22:H22"/>
    <mergeCell ref="AI20:AK20"/>
    <mergeCell ref="G21:H21"/>
    <mergeCell ref="J21:L21"/>
    <mergeCell ref="O21:Q21"/>
    <mergeCell ref="T21:V21"/>
    <mergeCell ref="Y21:AA21"/>
    <mergeCell ref="AD21:AF21"/>
    <mergeCell ref="BS14:BW14"/>
    <mergeCell ref="J15:L15"/>
    <mergeCell ref="O15:Q15"/>
    <mergeCell ref="T15:V15"/>
    <mergeCell ref="Y15:AA15"/>
    <mergeCell ref="AD15:AF15"/>
    <mergeCell ref="AI15:AK15"/>
    <mergeCell ref="AD14:AF14"/>
    <mergeCell ref="AI14:AK14"/>
    <mergeCell ref="AU14:AZ14"/>
    <mergeCell ref="BA14:BC14"/>
    <mergeCell ref="BD14:BM14"/>
    <mergeCell ref="BN14:BR14"/>
    <mergeCell ref="AU15:AZ15"/>
    <mergeCell ref="BA15:BC15"/>
    <mergeCell ref="BD15:BM15"/>
    <mergeCell ref="B6:B15"/>
    <mergeCell ref="C6:H6"/>
    <mergeCell ref="J6:N6"/>
    <mergeCell ref="O6:S6"/>
    <mergeCell ref="T6:X6"/>
    <mergeCell ref="Y6:AC6"/>
    <mergeCell ref="T14:V14"/>
    <mergeCell ref="Y14:AA14"/>
    <mergeCell ref="BA13:BC13"/>
    <mergeCell ref="D14:F15"/>
    <mergeCell ref="J14:L14"/>
    <mergeCell ref="D12:H12"/>
    <mergeCell ref="J12:L12"/>
    <mergeCell ref="O12:Q12"/>
    <mergeCell ref="T12:V12"/>
    <mergeCell ref="Y12:AA12"/>
    <mergeCell ref="AD12:AF12"/>
    <mergeCell ref="D11:H11"/>
    <mergeCell ref="J11:L11"/>
    <mergeCell ref="O11:Q11"/>
    <mergeCell ref="T11:V11"/>
    <mergeCell ref="AO10:AP10"/>
    <mergeCell ref="AU10:AZ10"/>
    <mergeCell ref="BA10:BC10"/>
    <mergeCell ref="BD13:BH13"/>
    <mergeCell ref="BI13:BM13"/>
    <mergeCell ref="BN13:BR13"/>
    <mergeCell ref="BS13:BW13"/>
    <mergeCell ref="O13:Q13"/>
    <mergeCell ref="T13:V13"/>
    <mergeCell ref="Y13:AA13"/>
    <mergeCell ref="AD13:AF13"/>
    <mergeCell ref="AI13:AK13"/>
    <mergeCell ref="AT13:AT17"/>
    <mergeCell ref="AU13:AZ13"/>
    <mergeCell ref="AU17:AZ17"/>
    <mergeCell ref="BA17:BC17"/>
    <mergeCell ref="BD17:BM17"/>
    <mergeCell ref="BN17:BR17"/>
    <mergeCell ref="BS17:BW17"/>
    <mergeCell ref="BN15:BR15"/>
    <mergeCell ref="BS15:BW15"/>
    <mergeCell ref="AU16:AZ16"/>
    <mergeCell ref="BA16:BC16"/>
    <mergeCell ref="BD16:BM16"/>
    <mergeCell ref="BN16:BR16"/>
    <mergeCell ref="BS16:BW16"/>
    <mergeCell ref="O14:Q14"/>
    <mergeCell ref="BD10:BM10"/>
    <mergeCell ref="BN10:BR10"/>
    <mergeCell ref="Y11:AA11"/>
    <mergeCell ref="AD11:AF11"/>
    <mergeCell ref="AI11:AK11"/>
    <mergeCell ref="AO11:AO12"/>
    <mergeCell ref="BA12:BC12"/>
    <mergeCell ref="BD12:BH12"/>
    <mergeCell ref="BI12:BM12"/>
    <mergeCell ref="BN12:BR12"/>
    <mergeCell ref="AI12:AK12"/>
    <mergeCell ref="AT12:AZ12"/>
    <mergeCell ref="CH8:CL8"/>
    <mergeCell ref="CC9:CG9"/>
    <mergeCell ref="CH9:CL9"/>
    <mergeCell ref="CM9:CQ9"/>
    <mergeCell ref="CR9:CV9"/>
    <mergeCell ref="D10:H10"/>
    <mergeCell ref="J10:L10"/>
    <mergeCell ref="O10:Q10"/>
    <mergeCell ref="T10:V10"/>
    <mergeCell ref="Y10:AA10"/>
    <mergeCell ref="AD10:AF10"/>
    <mergeCell ref="AU9:AZ9"/>
    <mergeCell ref="BA9:BC9"/>
    <mergeCell ref="BD9:BM9"/>
    <mergeCell ref="BN9:BR9"/>
    <mergeCell ref="BS9:BW9"/>
    <mergeCell ref="BX9:CB9"/>
    <mergeCell ref="BS10:BW10"/>
    <mergeCell ref="BX10:CB10"/>
    <mergeCell ref="CC10:CG10"/>
    <mergeCell ref="CH10:CL10"/>
    <mergeCell ref="CM10:CQ10"/>
    <mergeCell ref="CR10:CV10"/>
    <mergeCell ref="AI10:AK10"/>
    <mergeCell ref="C9:H9"/>
    <mergeCell ref="J9:N9"/>
    <mergeCell ref="O9:S9"/>
    <mergeCell ref="T9:X9"/>
    <mergeCell ref="Y9:AC9"/>
    <mergeCell ref="AD9:AH9"/>
    <mergeCell ref="AI9:AL9"/>
    <mergeCell ref="AO9:AP9"/>
    <mergeCell ref="BD8:BM8"/>
    <mergeCell ref="CM7:CQ7"/>
    <mergeCell ref="CR7:CV7"/>
    <mergeCell ref="G8:H8"/>
    <mergeCell ref="J8:L8"/>
    <mergeCell ref="O8:Q8"/>
    <mergeCell ref="T8:V8"/>
    <mergeCell ref="Y8:AA8"/>
    <mergeCell ref="AD8:AF8"/>
    <mergeCell ref="AI8:AK8"/>
    <mergeCell ref="AO8:AP8"/>
    <mergeCell ref="BD7:BM7"/>
    <mergeCell ref="BN7:BR7"/>
    <mergeCell ref="BS7:BW7"/>
    <mergeCell ref="BX7:CB7"/>
    <mergeCell ref="CC7:CG7"/>
    <mergeCell ref="CH7:CL7"/>
    <mergeCell ref="AU8:AZ8"/>
    <mergeCell ref="BA8:BC8"/>
    <mergeCell ref="CM8:CQ8"/>
    <mergeCell ref="CR8:CV8"/>
    <mergeCell ref="BN8:BR8"/>
    <mergeCell ref="BS8:BW8"/>
    <mergeCell ref="BX8:CB8"/>
    <mergeCell ref="CC8:CG8"/>
    <mergeCell ref="CM6:CQ6"/>
    <mergeCell ref="CR6:CV6"/>
    <mergeCell ref="D7:F8"/>
    <mergeCell ref="G7:H7"/>
    <mergeCell ref="J7:L7"/>
    <mergeCell ref="O7:Q7"/>
    <mergeCell ref="T7:V7"/>
    <mergeCell ref="Y7:AA7"/>
    <mergeCell ref="AD7:AF7"/>
    <mergeCell ref="AI7:AK7"/>
    <mergeCell ref="BD6:BM6"/>
    <mergeCell ref="BN6:BR6"/>
    <mergeCell ref="BS6:BW6"/>
    <mergeCell ref="BX6:CB6"/>
    <mergeCell ref="CC6:CG6"/>
    <mergeCell ref="CH6:CL6"/>
    <mergeCell ref="AD6:AH6"/>
    <mergeCell ref="AI6:AL6"/>
    <mergeCell ref="AO6:AO7"/>
    <mergeCell ref="AT6:AT10"/>
    <mergeCell ref="AU6:AZ6"/>
    <mergeCell ref="BA6:BC6"/>
    <mergeCell ref="AU7:AZ7"/>
    <mergeCell ref="BA7:BC7"/>
    <mergeCell ref="BS5:BW5"/>
    <mergeCell ref="BX5:CB5"/>
    <mergeCell ref="CC5:CG5"/>
    <mergeCell ref="CH5:CL5"/>
    <mergeCell ref="CM5:CQ5"/>
    <mergeCell ref="CR5:CV5"/>
    <mergeCell ref="B5:AL5"/>
    <mergeCell ref="AO5:AP5"/>
    <mergeCell ref="AT5:AZ5"/>
    <mergeCell ref="BA5:BC5"/>
    <mergeCell ref="BD5:BM5"/>
    <mergeCell ref="BN5:BR5"/>
    <mergeCell ref="AU23:AZ23"/>
    <mergeCell ref="BA23:BC23"/>
    <mergeCell ref="BD23:BM23"/>
    <mergeCell ref="BN23:BR23"/>
    <mergeCell ref="BS23:BW23"/>
    <mergeCell ref="BX23:CB23"/>
    <mergeCell ref="CC23:CG23"/>
    <mergeCell ref="CH23:CL23"/>
    <mergeCell ref="CM23:CQ23"/>
    <mergeCell ref="CR24:CV24"/>
    <mergeCell ref="BA22:BC22"/>
    <mergeCell ref="BD22:BM22"/>
    <mergeCell ref="BN22:BR22"/>
    <mergeCell ref="BS22:BW22"/>
    <mergeCell ref="BX22:CB22"/>
    <mergeCell ref="CC22:CG22"/>
    <mergeCell ref="CH22:CL22"/>
    <mergeCell ref="CM22:CQ22"/>
    <mergeCell ref="CR22:CV22"/>
    <mergeCell ref="CR23:CV23"/>
    <mergeCell ref="BA25:BC25"/>
    <mergeCell ref="BD25:BM25"/>
    <mergeCell ref="BN25:BR25"/>
    <mergeCell ref="BS25:BW25"/>
    <mergeCell ref="BX25:CB25"/>
    <mergeCell ref="CC25:CG25"/>
    <mergeCell ref="CH25:CL25"/>
    <mergeCell ref="CM25:CQ25"/>
    <mergeCell ref="AU24:AZ24"/>
    <mergeCell ref="BA24:BC24"/>
    <mergeCell ref="BD24:BM24"/>
    <mergeCell ref="BN24:BR24"/>
    <mergeCell ref="BS24:BW24"/>
    <mergeCell ref="BX24:CB24"/>
    <mergeCell ref="CC24:CG24"/>
    <mergeCell ref="CH24:CL24"/>
    <mergeCell ref="CM24:CQ24"/>
    <mergeCell ref="BN27:BR27"/>
    <mergeCell ref="BS27:BW27"/>
    <mergeCell ref="BX27:CB27"/>
    <mergeCell ref="CC27:CG27"/>
    <mergeCell ref="CH27:CL27"/>
    <mergeCell ref="CM27:CQ27"/>
    <mergeCell ref="CR27:CV27"/>
    <mergeCell ref="AT22:AZ22"/>
    <mergeCell ref="AT23:AT27"/>
    <mergeCell ref="AU27:AZ27"/>
    <mergeCell ref="BA27:BC27"/>
    <mergeCell ref="BD27:BM27"/>
    <mergeCell ref="CR25:CV25"/>
    <mergeCell ref="AU26:AZ26"/>
    <mergeCell ref="BA26:BC26"/>
    <mergeCell ref="BD26:BM26"/>
    <mergeCell ref="BN26:BR26"/>
    <mergeCell ref="BS26:BW26"/>
    <mergeCell ref="BX26:CB26"/>
    <mergeCell ref="CC26:CG26"/>
    <mergeCell ref="CH26:CL26"/>
    <mergeCell ref="CM26:CQ26"/>
    <mergeCell ref="CR26:CV26"/>
    <mergeCell ref="AU25:AZ25"/>
    <mergeCell ref="AU34:AZ34"/>
    <mergeCell ref="BA34:BC34"/>
    <mergeCell ref="AT29:AZ29"/>
    <mergeCell ref="BA29:BC29"/>
    <mergeCell ref="BD29:BH29"/>
    <mergeCell ref="BI29:BM29"/>
    <mergeCell ref="BN29:BR29"/>
    <mergeCell ref="BS29:BW29"/>
    <mergeCell ref="BD34:BM34"/>
    <mergeCell ref="BN34:BR34"/>
    <mergeCell ref="BS34:BW34"/>
    <mergeCell ref="AT30:AT34"/>
    <mergeCell ref="AU30:AZ30"/>
    <mergeCell ref="BA30:BC30"/>
    <mergeCell ref="BD30:BH30"/>
    <mergeCell ref="BI30:BM30"/>
    <mergeCell ref="BN30:BR30"/>
    <mergeCell ref="BS30:BW30"/>
    <mergeCell ref="AU31:AZ31"/>
    <mergeCell ref="C32:I32"/>
    <mergeCell ref="C33:I33"/>
    <mergeCell ref="BA32:BC32"/>
    <mergeCell ref="BD32:BM32"/>
    <mergeCell ref="BN32:BR32"/>
    <mergeCell ref="BS32:BW32"/>
    <mergeCell ref="BA31:BC31"/>
    <mergeCell ref="BD31:BM31"/>
    <mergeCell ref="BN31:BR31"/>
    <mergeCell ref="BS31:BW31"/>
    <mergeCell ref="AU32:AZ32"/>
    <mergeCell ref="C31:M31"/>
    <mergeCell ref="J32:M32"/>
    <mergeCell ref="J33:M33"/>
    <mergeCell ref="AU33:AZ33"/>
    <mergeCell ref="BA33:BC33"/>
    <mergeCell ref="BD33:BM33"/>
    <mergeCell ref="BN33:BR33"/>
    <mergeCell ref="BS33:BW33"/>
  </mergeCells>
  <phoneticPr fontId="2"/>
  <conditionalFormatting sqref="E38:Y41">
    <cfRule type="cellIs" dxfId="4" priority="5"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E36:Y37">
    <cfRule type="cellIs" dxfId="3" priority="3" operator="equal">
      <formula>"「いしかわモデル」導入の事業費が既存処理体系の事業費を上回っています。 以下の対応により、「いしかわモデル」導入における課題を解消できる可能性があります。"")"</formula>
    </cfRule>
    <cfRule type="cellIs" dxfId="2" priority="4" operator="equal">
      <formula>"「いしかわモデル」の導入による、事業費の低減が期待できます。"</formula>
    </cfRule>
  </conditionalFormatting>
  <conditionalFormatting sqref="J32:J33">
    <cfRule type="cellIs" dxfId="1" priority="2"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conditionalFormatting sqref="C33">
    <cfRule type="cellIs" dxfId="0" priority="1" operator="equal">
      <formula>"〇集約対象施設・範囲の見直しによる下水汚泥の収集運搬費及び処分費の低減 〇投入バイオマスの高濃度化による設備の小型化、建設コストの低減 〇補助事業の活用による建設コストの低減"</formula>
    </cfRule>
  </conditionalFormatting>
  <pageMargins left="0.7" right="0.7" top="0.75" bottom="0.75" header="0.3" footer="0.3"/>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B3:AP55"/>
  <sheetViews>
    <sheetView showGridLines="0" workbookViewId="0"/>
  </sheetViews>
  <sheetFormatPr defaultColWidth="3.75" defaultRowHeight="13.5"/>
  <cols>
    <col min="1" max="16384" width="3.75" style="71"/>
  </cols>
  <sheetData>
    <row r="3" spans="2:42" ht="14.25" thickBot="1">
      <c r="B3" s="1204" t="s">
        <v>509</v>
      </c>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row>
    <row r="4" spans="2:42">
      <c r="B4" s="1205" t="s">
        <v>477</v>
      </c>
      <c r="C4" s="1206"/>
      <c r="D4" s="1206"/>
      <c r="E4" s="1206"/>
      <c r="F4" s="1207"/>
      <c r="G4" s="1207"/>
      <c r="H4" s="1207"/>
      <c r="I4" s="1207"/>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8"/>
    </row>
    <row r="5" spans="2:42">
      <c r="B5" s="1209" t="s">
        <v>23</v>
      </c>
      <c r="C5" s="846"/>
      <c r="D5" s="846"/>
      <c r="E5" s="846"/>
      <c r="F5" s="1210" t="s">
        <v>24</v>
      </c>
      <c r="G5" s="1211"/>
      <c r="H5" s="1211"/>
      <c r="I5" s="1212"/>
      <c r="J5" s="846" t="s">
        <v>439</v>
      </c>
      <c r="K5" s="846"/>
      <c r="L5" s="846"/>
      <c r="M5" s="846"/>
      <c r="N5" s="846" t="s">
        <v>440</v>
      </c>
      <c r="O5" s="846"/>
      <c r="P5" s="846"/>
      <c r="Q5" s="846"/>
      <c r="R5" s="846" t="s">
        <v>40</v>
      </c>
      <c r="S5" s="846"/>
      <c r="T5" s="846"/>
      <c r="U5" s="846"/>
      <c r="V5" s="846" t="s">
        <v>159</v>
      </c>
      <c r="W5" s="846"/>
      <c r="X5" s="846"/>
      <c r="Y5" s="846"/>
      <c r="Z5" s="846" t="s">
        <v>441</v>
      </c>
      <c r="AA5" s="846"/>
      <c r="AB5" s="846"/>
      <c r="AC5" s="846"/>
      <c r="AD5" s="1210" t="s">
        <v>25</v>
      </c>
      <c r="AE5" s="1211"/>
      <c r="AF5" s="1211"/>
      <c r="AG5" s="1211"/>
      <c r="AH5" s="1211"/>
      <c r="AI5" s="1211"/>
      <c r="AJ5" s="1211"/>
      <c r="AK5" s="1211"/>
      <c r="AL5" s="1211"/>
      <c r="AM5" s="1211"/>
      <c r="AN5" s="1211"/>
      <c r="AO5" s="1211"/>
      <c r="AP5" s="1213"/>
    </row>
    <row r="6" spans="2:42" ht="13.5" customHeight="1">
      <c r="B6" s="1220" t="s">
        <v>160</v>
      </c>
      <c r="C6" s="1221"/>
      <c r="D6" s="1221"/>
      <c r="E6" s="1221"/>
      <c r="F6" s="1222" t="s">
        <v>53</v>
      </c>
      <c r="G6" s="1223"/>
      <c r="H6" s="1223"/>
      <c r="I6" s="1224"/>
      <c r="J6" s="1228">
        <v>1.5</v>
      </c>
      <c r="K6" s="1229"/>
      <c r="L6" s="1229"/>
      <c r="M6" s="1230"/>
      <c r="N6" s="1228">
        <v>2.4</v>
      </c>
      <c r="O6" s="1229"/>
      <c r="P6" s="1229"/>
      <c r="Q6" s="1230"/>
      <c r="R6" s="1214">
        <v>2.4</v>
      </c>
      <c r="S6" s="1215"/>
      <c r="T6" s="1215"/>
      <c r="U6" s="1216"/>
      <c r="V6" s="1214">
        <v>1.3</v>
      </c>
      <c r="W6" s="1215"/>
      <c r="X6" s="1215"/>
      <c r="Y6" s="1216"/>
      <c r="Z6" s="1214">
        <v>2.2999999999999998</v>
      </c>
      <c r="AA6" s="1215"/>
      <c r="AB6" s="1215"/>
      <c r="AC6" s="1216"/>
      <c r="AD6" s="1217" t="s">
        <v>513</v>
      </c>
      <c r="AE6" s="1218"/>
      <c r="AF6" s="1218"/>
      <c r="AG6" s="1218"/>
      <c r="AH6" s="1218"/>
      <c r="AI6" s="1218"/>
      <c r="AJ6" s="1218"/>
      <c r="AK6" s="1218"/>
      <c r="AL6" s="1218"/>
      <c r="AM6" s="1218"/>
      <c r="AN6" s="1218"/>
      <c r="AO6" s="1218"/>
      <c r="AP6" s="1219"/>
    </row>
    <row r="7" spans="2:42">
      <c r="B7" s="1220" t="s">
        <v>161</v>
      </c>
      <c r="C7" s="1221"/>
      <c r="D7" s="1221"/>
      <c r="E7" s="1221"/>
      <c r="F7" s="1222" t="s">
        <v>91</v>
      </c>
      <c r="G7" s="1223"/>
      <c r="H7" s="1223"/>
      <c r="I7" s="1224"/>
      <c r="J7" s="1214">
        <v>78.5</v>
      </c>
      <c r="K7" s="1215"/>
      <c r="L7" s="1215"/>
      <c r="M7" s="1216"/>
      <c r="N7" s="1214">
        <v>78.3</v>
      </c>
      <c r="O7" s="1215"/>
      <c r="P7" s="1215"/>
      <c r="Q7" s="1216"/>
      <c r="R7" s="1225">
        <v>55.6</v>
      </c>
      <c r="S7" s="1226"/>
      <c r="T7" s="1226"/>
      <c r="U7" s="1227"/>
      <c r="V7" s="1214">
        <v>78.599999999999994</v>
      </c>
      <c r="W7" s="1215"/>
      <c r="X7" s="1215"/>
      <c r="Y7" s="1216"/>
      <c r="Z7" s="1225">
        <v>73.599999999999994</v>
      </c>
      <c r="AA7" s="1226"/>
      <c r="AB7" s="1226"/>
      <c r="AC7" s="1227"/>
      <c r="AD7" s="1217" t="s">
        <v>513</v>
      </c>
      <c r="AE7" s="1218"/>
      <c r="AF7" s="1218"/>
      <c r="AG7" s="1218"/>
      <c r="AH7" s="1218"/>
      <c r="AI7" s="1218"/>
      <c r="AJ7" s="1218"/>
      <c r="AK7" s="1218"/>
      <c r="AL7" s="1218"/>
      <c r="AM7" s="1218"/>
      <c r="AN7" s="1218"/>
      <c r="AO7" s="1218"/>
      <c r="AP7" s="1219"/>
    </row>
    <row r="8" spans="2:42">
      <c r="B8" s="1220" t="s">
        <v>73</v>
      </c>
      <c r="C8" s="1221"/>
      <c r="D8" s="1221"/>
      <c r="E8" s="1221"/>
      <c r="F8" s="1222" t="s">
        <v>476</v>
      </c>
      <c r="G8" s="1223"/>
      <c r="H8" s="1223"/>
      <c r="I8" s="1224"/>
      <c r="J8" s="1214">
        <v>30</v>
      </c>
      <c r="K8" s="1215"/>
      <c r="L8" s="1215"/>
      <c r="M8" s="1216"/>
      <c r="N8" s="1214">
        <v>50</v>
      </c>
      <c r="O8" s="1215"/>
      <c r="P8" s="1215"/>
      <c r="Q8" s="1216"/>
      <c r="R8" s="1214">
        <v>46</v>
      </c>
      <c r="S8" s="1215"/>
      <c r="T8" s="1215"/>
      <c r="U8" s="1216"/>
      <c r="V8" s="1214">
        <v>46</v>
      </c>
      <c r="W8" s="1215"/>
      <c r="X8" s="1215"/>
      <c r="Y8" s="1216"/>
      <c r="Z8" s="1214">
        <v>46</v>
      </c>
      <c r="AA8" s="1215"/>
      <c r="AB8" s="1215"/>
      <c r="AC8" s="1216"/>
      <c r="AD8" s="1217" t="s">
        <v>514</v>
      </c>
      <c r="AE8" s="1218"/>
      <c r="AF8" s="1218"/>
      <c r="AG8" s="1218"/>
      <c r="AH8" s="1218"/>
      <c r="AI8" s="1218"/>
      <c r="AJ8" s="1218"/>
      <c r="AK8" s="1218"/>
      <c r="AL8" s="1218"/>
      <c r="AM8" s="1218"/>
      <c r="AN8" s="1218"/>
      <c r="AO8" s="1218"/>
      <c r="AP8" s="1219"/>
    </row>
    <row r="9" spans="2:42" ht="15.75">
      <c r="B9" s="1220" t="s">
        <v>74</v>
      </c>
      <c r="C9" s="1221"/>
      <c r="D9" s="1221"/>
      <c r="E9" s="1221"/>
      <c r="F9" s="1222" t="s">
        <v>423</v>
      </c>
      <c r="G9" s="1223"/>
      <c r="H9" s="1223"/>
      <c r="I9" s="1224"/>
      <c r="J9" s="1225">
        <v>0.55000000000000004</v>
      </c>
      <c r="K9" s="1226"/>
      <c r="L9" s="1226"/>
      <c r="M9" s="1227"/>
      <c r="N9" s="1225">
        <v>0.55000000000000004</v>
      </c>
      <c r="O9" s="1226"/>
      <c r="P9" s="1226"/>
      <c r="Q9" s="1227"/>
      <c r="R9" s="1225">
        <v>0.78</v>
      </c>
      <c r="S9" s="1226"/>
      <c r="T9" s="1226"/>
      <c r="U9" s="1227"/>
      <c r="V9" s="1225">
        <v>0.78</v>
      </c>
      <c r="W9" s="1226"/>
      <c r="X9" s="1226"/>
      <c r="Y9" s="1227"/>
      <c r="Z9" s="1225">
        <v>0.78</v>
      </c>
      <c r="AA9" s="1226"/>
      <c r="AB9" s="1226"/>
      <c r="AC9" s="1227"/>
      <c r="AD9" s="1217" t="s">
        <v>514</v>
      </c>
      <c r="AE9" s="1218"/>
      <c r="AF9" s="1218"/>
      <c r="AG9" s="1218"/>
      <c r="AH9" s="1218"/>
      <c r="AI9" s="1218"/>
      <c r="AJ9" s="1218"/>
      <c r="AK9" s="1218"/>
      <c r="AL9" s="1218"/>
      <c r="AM9" s="1218"/>
      <c r="AN9" s="1218"/>
      <c r="AO9" s="1218"/>
      <c r="AP9" s="1219"/>
    </row>
    <row r="10" spans="2:42">
      <c r="B10" s="300"/>
      <c r="C10" s="301"/>
      <c r="D10" s="301"/>
      <c r="E10" s="301"/>
      <c r="F10" s="301"/>
      <c r="G10" s="301"/>
      <c r="H10" s="301"/>
      <c r="I10" s="301"/>
      <c r="J10" s="301" t="s">
        <v>512</v>
      </c>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2"/>
    </row>
    <row r="11" spans="2:42">
      <c r="B11" s="1231" t="s">
        <v>478</v>
      </c>
      <c r="C11" s="1232"/>
      <c r="D11" s="1232"/>
      <c r="E11" s="1232"/>
      <c r="F11" s="1233"/>
      <c r="G11" s="1233"/>
      <c r="H11" s="1233"/>
      <c r="I11" s="1233"/>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4"/>
    </row>
    <row r="12" spans="2:42">
      <c r="B12" s="1209" t="s">
        <v>23</v>
      </c>
      <c r="C12" s="846"/>
      <c r="D12" s="846"/>
      <c r="E12" s="846"/>
      <c r="F12" s="1210" t="s">
        <v>24</v>
      </c>
      <c r="G12" s="1211"/>
      <c r="H12" s="1211"/>
      <c r="I12" s="1212"/>
      <c r="J12" s="846" t="s">
        <v>19</v>
      </c>
      <c r="K12" s="846"/>
      <c r="L12" s="846"/>
      <c r="M12" s="846"/>
      <c r="N12" s="846" t="s">
        <v>479</v>
      </c>
      <c r="O12" s="846"/>
      <c r="P12" s="846"/>
      <c r="Q12" s="846"/>
      <c r="R12" s="846" t="s">
        <v>480</v>
      </c>
      <c r="S12" s="846"/>
      <c r="T12" s="846"/>
      <c r="U12" s="846"/>
      <c r="V12" s="846" t="s">
        <v>481</v>
      </c>
      <c r="W12" s="846"/>
      <c r="X12" s="846"/>
      <c r="Y12" s="846"/>
      <c r="Z12" s="846"/>
      <c r="AA12" s="846"/>
      <c r="AB12" s="846"/>
      <c r="AC12" s="846"/>
      <c r="AD12" s="1210" t="s">
        <v>25</v>
      </c>
      <c r="AE12" s="1211"/>
      <c r="AF12" s="1211"/>
      <c r="AG12" s="1211"/>
      <c r="AH12" s="1211"/>
      <c r="AI12" s="1211"/>
      <c r="AJ12" s="1211"/>
      <c r="AK12" s="1211"/>
      <c r="AL12" s="1211"/>
      <c r="AM12" s="1211"/>
      <c r="AN12" s="1211"/>
      <c r="AO12" s="1211"/>
      <c r="AP12" s="1213"/>
    </row>
    <row r="13" spans="2:42">
      <c r="B13" s="1220" t="s">
        <v>160</v>
      </c>
      <c r="C13" s="1221"/>
      <c r="D13" s="1221"/>
      <c r="E13" s="1221"/>
      <c r="F13" s="1222" t="s">
        <v>53</v>
      </c>
      <c r="G13" s="1223"/>
      <c r="H13" s="1223"/>
      <c r="I13" s="1224"/>
      <c r="J13" s="1225">
        <v>25.9</v>
      </c>
      <c r="K13" s="1226"/>
      <c r="L13" s="1226"/>
      <c r="M13" s="1227"/>
      <c r="N13" s="1214">
        <v>11</v>
      </c>
      <c r="O13" s="1215"/>
      <c r="P13" s="1215"/>
      <c r="Q13" s="1216"/>
      <c r="R13" s="1214">
        <v>19.5</v>
      </c>
      <c r="S13" s="1215"/>
      <c r="T13" s="1215"/>
      <c r="U13" s="1216"/>
      <c r="V13" s="1214">
        <v>48.5</v>
      </c>
      <c r="W13" s="1215"/>
      <c r="X13" s="1215"/>
      <c r="Y13" s="1216"/>
      <c r="Z13" s="1214"/>
      <c r="AA13" s="1215"/>
      <c r="AB13" s="1215"/>
      <c r="AC13" s="1216"/>
      <c r="AD13" s="1217" t="s">
        <v>515</v>
      </c>
      <c r="AE13" s="1218"/>
      <c r="AF13" s="1218"/>
      <c r="AG13" s="1218"/>
      <c r="AH13" s="1218"/>
      <c r="AI13" s="1218"/>
      <c r="AJ13" s="1218"/>
      <c r="AK13" s="1218"/>
      <c r="AL13" s="1218"/>
      <c r="AM13" s="1218"/>
      <c r="AN13" s="1218"/>
      <c r="AO13" s="1218"/>
      <c r="AP13" s="1219"/>
    </row>
    <row r="14" spans="2:42">
      <c r="B14" s="1220" t="s">
        <v>161</v>
      </c>
      <c r="C14" s="1221"/>
      <c r="D14" s="1221"/>
      <c r="E14" s="1221"/>
      <c r="F14" s="1222" t="s">
        <v>91</v>
      </c>
      <c r="G14" s="1223"/>
      <c r="H14" s="1223"/>
      <c r="I14" s="1224"/>
      <c r="J14" s="1225">
        <v>87.9</v>
      </c>
      <c r="K14" s="1226"/>
      <c r="L14" s="1226"/>
      <c r="M14" s="1227"/>
      <c r="N14" s="1214">
        <v>83.5</v>
      </c>
      <c r="O14" s="1215"/>
      <c r="P14" s="1215"/>
      <c r="Q14" s="1216"/>
      <c r="R14" s="1214">
        <v>83.3</v>
      </c>
      <c r="S14" s="1215"/>
      <c r="T14" s="1215"/>
      <c r="U14" s="1216"/>
      <c r="V14" s="1214">
        <v>75.3</v>
      </c>
      <c r="W14" s="1215"/>
      <c r="X14" s="1215"/>
      <c r="Y14" s="1216"/>
      <c r="Z14" s="1214"/>
      <c r="AA14" s="1215"/>
      <c r="AB14" s="1215"/>
      <c r="AC14" s="1216"/>
      <c r="AD14" s="1217" t="s">
        <v>515</v>
      </c>
      <c r="AE14" s="1218"/>
      <c r="AF14" s="1218"/>
      <c r="AG14" s="1218"/>
      <c r="AH14" s="1218"/>
      <c r="AI14" s="1218"/>
      <c r="AJ14" s="1218"/>
      <c r="AK14" s="1218"/>
      <c r="AL14" s="1218"/>
      <c r="AM14" s="1218"/>
      <c r="AN14" s="1218"/>
      <c r="AO14" s="1218"/>
      <c r="AP14" s="1219"/>
    </row>
    <row r="15" spans="2:42">
      <c r="B15" s="1220" t="s">
        <v>73</v>
      </c>
      <c r="C15" s="1221"/>
      <c r="D15" s="1221"/>
      <c r="E15" s="1221"/>
      <c r="F15" s="1222" t="s">
        <v>476</v>
      </c>
      <c r="G15" s="1223"/>
      <c r="H15" s="1223"/>
      <c r="I15" s="1224"/>
      <c r="J15" s="1244">
        <v>77.5</v>
      </c>
      <c r="K15" s="1245"/>
      <c r="L15" s="1245"/>
      <c r="M15" s="1246"/>
      <c r="N15" s="1214">
        <v>40</v>
      </c>
      <c r="O15" s="1215"/>
      <c r="P15" s="1215"/>
      <c r="Q15" s="1216"/>
      <c r="R15" s="1214">
        <v>40</v>
      </c>
      <c r="S15" s="1215"/>
      <c r="T15" s="1215"/>
      <c r="U15" s="1216"/>
      <c r="V15" s="1214" t="s">
        <v>217</v>
      </c>
      <c r="W15" s="1215"/>
      <c r="X15" s="1215"/>
      <c r="Y15" s="1216"/>
      <c r="Z15" s="1214"/>
      <c r="AA15" s="1215"/>
      <c r="AB15" s="1215"/>
      <c r="AC15" s="1216"/>
      <c r="AD15" s="1217" t="s">
        <v>516</v>
      </c>
      <c r="AE15" s="1218"/>
      <c r="AF15" s="1218"/>
      <c r="AG15" s="1218"/>
      <c r="AH15" s="1218"/>
      <c r="AI15" s="1218"/>
      <c r="AJ15" s="1218"/>
      <c r="AK15" s="1218"/>
      <c r="AL15" s="1218"/>
      <c r="AM15" s="1218"/>
      <c r="AN15" s="1218"/>
      <c r="AO15" s="1218"/>
      <c r="AP15" s="1219"/>
    </row>
    <row r="16" spans="2:42" ht="15.75">
      <c r="B16" s="1220" t="s">
        <v>74</v>
      </c>
      <c r="C16" s="1221"/>
      <c r="D16" s="1221"/>
      <c r="E16" s="1221"/>
      <c r="F16" s="1222" t="s">
        <v>423</v>
      </c>
      <c r="G16" s="1223"/>
      <c r="H16" s="1223"/>
      <c r="I16" s="1224"/>
      <c r="J16" s="1241">
        <v>0.89</v>
      </c>
      <c r="K16" s="1242"/>
      <c r="L16" s="1242"/>
      <c r="M16" s="1243"/>
      <c r="N16" s="1241">
        <v>0.5</v>
      </c>
      <c r="O16" s="1242"/>
      <c r="P16" s="1242"/>
      <c r="Q16" s="1243"/>
      <c r="R16" s="1241">
        <v>0.65</v>
      </c>
      <c r="S16" s="1242"/>
      <c r="T16" s="1242"/>
      <c r="U16" s="1243"/>
      <c r="V16" s="1241">
        <v>0.77</v>
      </c>
      <c r="W16" s="1242"/>
      <c r="X16" s="1242"/>
      <c r="Y16" s="1243"/>
      <c r="Z16" s="1214"/>
      <c r="AA16" s="1215"/>
      <c r="AB16" s="1215"/>
      <c r="AC16" s="1216"/>
      <c r="AD16" s="1217" t="s">
        <v>517</v>
      </c>
      <c r="AE16" s="1218"/>
      <c r="AF16" s="1218"/>
      <c r="AG16" s="1218"/>
      <c r="AH16" s="1218"/>
      <c r="AI16" s="1218"/>
      <c r="AJ16" s="1218"/>
      <c r="AK16" s="1218"/>
      <c r="AL16" s="1218"/>
      <c r="AM16" s="1218"/>
      <c r="AN16" s="1218"/>
      <c r="AO16" s="1218"/>
      <c r="AP16" s="1219"/>
    </row>
    <row r="17" spans="2:42">
      <c r="B17" s="1235"/>
      <c r="C17" s="1236"/>
      <c r="D17" s="1236"/>
      <c r="E17" s="1236"/>
      <c r="F17" s="1236"/>
      <c r="G17" s="1236"/>
      <c r="H17" s="1236"/>
      <c r="I17" s="1236"/>
      <c r="J17" s="1236"/>
      <c r="K17" s="1236"/>
      <c r="L17" s="1236"/>
      <c r="M17" s="1236"/>
      <c r="N17" s="1236"/>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7"/>
    </row>
    <row r="18" spans="2:42">
      <c r="B18" s="1238" t="s">
        <v>484</v>
      </c>
      <c r="C18" s="1233"/>
      <c r="D18" s="1233"/>
      <c r="E18" s="1233"/>
      <c r="F18" s="1233"/>
      <c r="G18" s="1233"/>
      <c r="H18" s="1233"/>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3"/>
      <c r="AP18" s="1239"/>
    </row>
    <row r="19" spans="2:42">
      <c r="B19" s="1240" t="s">
        <v>23</v>
      </c>
      <c r="C19" s="1211"/>
      <c r="D19" s="1211"/>
      <c r="E19" s="1211"/>
      <c r="F19" s="1211"/>
      <c r="G19" s="1211"/>
      <c r="H19" s="1211"/>
      <c r="I19" s="1212"/>
      <c r="J19" s="846" t="s">
        <v>206</v>
      </c>
      <c r="K19" s="846"/>
      <c r="L19" s="846"/>
      <c r="M19" s="846"/>
      <c r="N19" s="846" t="s">
        <v>24</v>
      </c>
      <c r="O19" s="846"/>
      <c r="P19" s="846"/>
      <c r="Q19" s="846"/>
      <c r="R19" s="1210" t="s">
        <v>25</v>
      </c>
      <c r="S19" s="1211"/>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1213"/>
    </row>
    <row r="20" spans="2:42">
      <c r="B20" s="1220" t="s">
        <v>465</v>
      </c>
      <c r="C20" s="1221"/>
      <c r="D20" s="1221"/>
      <c r="E20" s="1221"/>
      <c r="F20" s="1222" t="s">
        <v>208</v>
      </c>
      <c r="G20" s="1223"/>
      <c r="H20" s="1223"/>
      <c r="I20" s="1224"/>
      <c r="J20" s="1247">
        <v>6.9</v>
      </c>
      <c r="K20" s="1247"/>
      <c r="L20" s="1247"/>
      <c r="M20" s="1247"/>
      <c r="N20" s="1221" t="s">
        <v>212</v>
      </c>
      <c r="O20" s="1221"/>
      <c r="P20" s="1221"/>
      <c r="Q20" s="1221"/>
      <c r="R20" s="1217" t="s">
        <v>565</v>
      </c>
      <c r="S20" s="1218"/>
      <c r="T20" s="1218"/>
      <c r="U20" s="1218"/>
      <c r="V20" s="1218"/>
      <c r="W20" s="1218"/>
      <c r="X20" s="1218"/>
      <c r="Y20" s="1218"/>
      <c r="Z20" s="1218"/>
      <c r="AA20" s="1218"/>
      <c r="AB20" s="1218"/>
      <c r="AC20" s="1218"/>
      <c r="AD20" s="1218"/>
      <c r="AE20" s="1218"/>
      <c r="AF20" s="1218"/>
      <c r="AG20" s="1218"/>
      <c r="AH20" s="1218"/>
      <c r="AI20" s="1218"/>
      <c r="AJ20" s="1218"/>
      <c r="AK20" s="1218"/>
      <c r="AL20" s="1218"/>
      <c r="AM20" s="1218"/>
      <c r="AN20" s="1218"/>
      <c r="AO20" s="1218"/>
      <c r="AP20" s="1219"/>
    </row>
    <row r="21" spans="2:42" ht="13.5" customHeight="1">
      <c r="B21" s="1220"/>
      <c r="C21" s="1221"/>
      <c r="D21" s="1221"/>
      <c r="E21" s="1221"/>
      <c r="F21" s="1222" t="s">
        <v>209</v>
      </c>
      <c r="G21" s="1223"/>
      <c r="H21" s="1223"/>
      <c r="I21" s="1224"/>
      <c r="J21" s="1248" t="s">
        <v>217</v>
      </c>
      <c r="K21" s="1248"/>
      <c r="L21" s="1248"/>
      <c r="M21" s="1248"/>
      <c r="N21" s="1221" t="s">
        <v>212</v>
      </c>
      <c r="O21" s="1221"/>
      <c r="P21" s="1221"/>
      <c r="Q21" s="1221"/>
      <c r="R21" s="1222" t="s">
        <v>217</v>
      </c>
      <c r="S21" s="1223"/>
      <c r="T21" s="1223"/>
      <c r="U21" s="1223"/>
      <c r="V21" s="1223"/>
      <c r="W21" s="1223"/>
      <c r="X21" s="1223"/>
      <c r="Y21" s="1223"/>
      <c r="Z21" s="1223"/>
      <c r="AA21" s="1223"/>
      <c r="AB21" s="1223"/>
      <c r="AC21" s="1223"/>
      <c r="AD21" s="1223"/>
      <c r="AE21" s="1223"/>
      <c r="AF21" s="1223"/>
      <c r="AG21" s="1223"/>
      <c r="AH21" s="1223"/>
      <c r="AI21" s="1223"/>
      <c r="AJ21" s="1223"/>
      <c r="AK21" s="1223"/>
      <c r="AL21" s="1223"/>
      <c r="AM21" s="1223"/>
      <c r="AN21" s="1223"/>
      <c r="AO21" s="1223"/>
      <c r="AP21" s="1249"/>
    </row>
    <row r="22" spans="2:42">
      <c r="B22" s="1220" t="s">
        <v>279</v>
      </c>
      <c r="C22" s="1221"/>
      <c r="D22" s="1221"/>
      <c r="E22" s="1221"/>
      <c r="F22" s="1222" t="s">
        <v>208</v>
      </c>
      <c r="G22" s="1223"/>
      <c r="H22" s="1223"/>
      <c r="I22" s="1224"/>
      <c r="J22" s="1247">
        <v>4.4000000000000004</v>
      </c>
      <c r="K22" s="1247"/>
      <c r="L22" s="1247"/>
      <c r="M22" s="1247"/>
      <c r="N22" s="1221" t="s">
        <v>212</v>
      </c>
      <c r="O22" s="1221"/>
      <c r="P22" s="1221"/>
      <c r="Q22" s="1221"/>
      <c r="R22" s="1217" t="s">
        <v>565</v>
      </c>
      <c r="S22" s="1218"/>
      <c r="T22" s="1218"/>
      <c r="U22" s="1218"/>
      <c r="V22" s="1218"/>
      <c r="W22" s="1218"/>
      <c r="X22" s="1218"/>
      <c r="Y22" s="1218"/>
      <c r="Z22" s="1218"/>
      <c r="AA22" s="1218"/>
      <c r="AB22" s="1218"/>
      <c r="AC22" s="1218"/>
      <c r="AD22" s="1218"/>
      <c r="AE22" s="1218"/>
      <c r="AF22" s="1218"/>
      <c r="AG22" s="1218"/>
      <c r="AH22" s="1218"/>
      <c r="AI22" s="1218"/>
      <c r="AJ22" s="1218"/>
      <c r="AK22" s="1218"/>
      <c r="AL22" s="1218"/>
      <c r="AM22" s="1218"/>
      <c r="AN22" s="1218"/>
      <c r="AO22" s="1218"/>
      <c r="AP22" s="1219"/>
    </row>
    <row r="23" spans="2:42">
      <c r="B23" s="1220"/>
      <c r="C23" s="1221"/>
      <c r="D23" s="1221"/>
      <c r="E23" s="1221"/>
      <c r="F23" s="1222" t="s">
        <v>485</v>
      </c>
      <c r="G23" s="1223"/>
      <c r="H23" s="1223"/>
      <c r="I23" s="1224"/>
      <c r="J23" s="1247">
        <v>2.8</v>
      </c>
      <c r="K23" s="1247"/>
      <c r="L23" s="1247"/>
      <c r="M23" s="1247"/>
      <c r="N23" s="1221" t="s">
        <v>212</v>
      </c>
      <c r="O23" s="1221"/>
      <c r="P23" s="1221"/>
      <c r="Q23" s="1221"/>
      <c r="R23" s="1217" t="s">
        <v>461</v>
      </c>
      <c r="S23" s="1218"/>
      <c r="T23" s="1218"/>
      <c r="U23" s="1218"/>
      <c r="V23" s="1218"/>
      <c r="W23" s="1218"/>
      <c r="X23" s="1218"/>
      <c r="Y23" s="1218"/>
      <c r="Z23" s="1218"/>
      <c r="AA23" s="1218"/>
      <c r="AB23" s="1218"/>
      <c r="AC23" s="1218"/>
      <c r="AD23" s="1218"/>
      <c r="AE23" s="1218"/>
      <c r="AF23" s="1218"/>
      <c r="AG23" s="1218"/>
      <c r="AH23" s="1218"/>
      <c r="AI23" s="1218"/>
      <c r="AJ23" s="1218"/>
      <c r="AK23" s="1218"/>
      <c r="AL23" s="1218"/>
      <c r="AM23" s="1218"/>
      <c r="AN23" s="1218"/>
      <c r="AO23" s="1218"/>
      <c r="AP23" s="1219"/>
    </row>
    <row r="24" spans="2:42">
      <c r="B24" s="1220"/>
      <c r="C24" s="1221"/>
      <c r="D24" s="1221"/>
      <c r="E24" s="1221"/>
      <c r="F24" s="1221" t="s">
        <v>486</v>
      </c>
      <c r="G24" s="1223"/>
      <c r="H24" s="1223"/>
      <c r="I24" s="1224"/>
      <c r="J24" s="1250">
        <v>21.4</v>
      </c>
      <c r="K24" s="1250"/>
      <c r="L24" s="1250"/>
      <c r="M24" s="1250"/>
      <c r="N24" s="1221" t="s">
        <v>212</v>
      </c>
      <c r="O24" s="1221"/>
      <c r="P24" s="1221"/>
      <c r="Q24" s="1221"/>
      <c r="R24" s="1217" t="s">
        <v>462</v>
      </c>
      <c r="S24" s="1218"/>
      <c r="T24" s="1218"/>
      <c r="U24" s="1218"/>
      <c r="V24" s="1218"/>
      <c r="W24" s="1218"/>
      <c r="X24" s="1218"/>
      <c r="Y24" s="1218"/>
      <c r="Z24" s="1218"/>
      <c r="AA24" s="1218"/>
      <c r="AB24" s="1218"/>
      <c r="AC24" s="1218"/>
      <c r="AD24" s="1218"/>
      <c r="AE24" s="1218"/>
      <c r="AF24" s="1218"/>
      <c r="AG24" s="1218"/>
      <c r="AH24" s="1218"/>
      <c r="AI24" s="1218"/>
      <c r="AJ24" s="1218"/>
      <c r="AK24" s="1218"/>
      <c r="AL24" s="1218"/>
      <c r="AM24" s="1218"/>
      <c r="AN24" s="1218"/>
      <c r="AO24" s="1218"/>
      <c r="AP24" s="1219"/>
    </row>
    <row r="25" spans="2:42">
      <c r="B25" s="1220"/>
      <c r="C25" s="1221"/>
      <c r="D25" s="1221"/>
      <c r="E25" s="1221"/>
      <c r="F25" s="1222" t="s">
        <v>487</v>
      </c>
      <c r="G25" s="1223"/>
      <c r="H25" s="1223"/>
      <c r="I25" s="1224"/>
      <c r="J25" s="1250">
        <v>27.4</v>
      </c>
      <c r="K25" s="1250"/>
      <c r="L25" s="1250"/>
      <c r="M25" s="1250"/>
      <c r="N25" s="1221" t="s">
        <v>212</v>
      </c>
      <c r="O25" s="1221"/>
      <c r="P25" s="1221"/>
      <c r="Q25" s="1221"/>
      <c r="R25" s="1217" t="s">
        <v>463</v>
      </c>
      <c r="S25" s="1218"/>
      <c r="T25" s="1218"/>
      <c r="U25" s="1218"/>
      <c r="V25" s="1218"/>
      <c r="W25" s="1218"/>
      <c r="X25" s="1218"/>
      <c r="Y25" s="1218"/>
      <c r="Z25" s="1218"/>
      <c r="AA25" s="1218"/>
      <c r="AB25" s="1218"/>
      <c r="AC25" s="1218"/>
      <c r="AD25" s="1218"/>
      <c r="AE25" s="1218"/>
      <c r="AF25" s="1218"/>
      <c r="AG25" s="1218"/>
      <c r="AH25" s="1218"/>
      <c r="AI25" s="1218"/>
      <c r="AJ25" s="1218"/>
      <c r="AK25" s="1218"/>
      <c r="AL25" s="1218"/>
      <c r="AM25" s="1218"/>
      <c r="AN25" s="1218"/>
      <c r="AO25" s="1218"/>
      <c r="AP25" s="1219"/>
    </row>
    <row r="26" spans="2:42">
      <c r="B26" s="1220" t="s">
        <v>98</v>
      </c>
      <c r="C26" s="1221"/>
      <c r="D26" s="1221"/>
      <c r="E26" s="1221"/>
      <c r="F26" s="1222" t="s">
        <v>208</v>
      </c>
      <c r="G26" s="1223"/>
      <c r="H26" s="1223"/>
      <c r="I26" s="1224"/>
      <c r="J26" s="1251">
        <v>11.1</v>
      </c>
      <c r="K26" s="1251"/>
      <c r="L26" s="1251"/>
      <c r="M26" s="1251"/>
      <c r="N26" s="1221" t="s">
        <v>212</v>
      </c>
      <c r="O26" s="1221"/>
      <c r="P26" s="1221"/>
      <c r="Q26" s="1221"/>
      <c r="R26" s="1252" t="s">
        <v>214</v>
      </c>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c r="AO26" s="1253"/>
      <c r="AP26" s="1254"/>
    </row>
    <row r="27" spans="2:42">
      <c r="B27" s="1220"/>
      <c r="C27" s="1221"/>
      <c r="D27" s="1221"/>
      <c r="E27" s="1221"/>
      <c r="F27" s="1222" t="s">
        <v>209</v>
      </c>
      <c r="G27" s="1223"/>
      <c r="H27" s="1223"/>
      <c r="I27" s="1224"/>
      <c r="J27" s="1251">
        <v>28.1</v>
      </c>
      <c r="K27" s="1251"/>
      <c r="L27" s="1251"/>
      <c r="M27" s="1251"/>
      <c r="N27" s="1221" t="s">
        <v>212</v>
      </c>
      <c r="O27" s="1221"/>
      <c r="P27" s="1221"/>
      <c r="Q27" s="1221"/>
      <c r="R27" s="1252" t="s">
        <v>214</v>
      </c>
      <c r="S27" s="1253"/>
      <c r="T27" s="1253"/>
      <c r="U27" s="1253"/>
      <c r="V27" s="1253"/>
      <c r="W27" s="1253"/>
      <c r="X27" s="1253"/>
      <c r="Y27" s="1253"/>
      <c r="Z27" s="1253"/>
      <c r="AA27" s="1253"/>
      <c r="AB27" s="1253"/>
      <c r="AC27" s="1253"/>
      <c r="AD27" s="1253"/>
      <c r="AE27" s="1253"/>
      <c r="AF27" s="1253"/>
      <c r="AG27" s="1253"/>
      <c r="AH27" s="1253"/>
      <c r="AI27" s="1253"/>
      <c r="AJ27" s="1253"/>
      <c r="AK27" s="1253"/>
      <c r="AL27" s="1253"/>
      <c r="AM27" s="1253"/>
      <c r="AN27" s="1253"/>
      <c r="AO27" s="1253"/>
      <c r="AP27" s="1254"/>
    </row>
    <row r="28" spans="2:42">
      <c r="B28" s="1220" t="s">
        <v>43</v>
      </c>
      <c r="C28" s="1221"/>
      <c r="D28" s="1221"/>
      <c r="E28" s="1221"/>
      <c r="F28" s="1222" t="s">
        <v>208</v>
      </c>
      <c r="G28" s="1223"/>
      <c r="H28" s="1223"/>
      <c r="I28" s="1224"/>
      <c r="J28" s="1251">
        <v>11.5</v>
      </c>
      <c r="K28" s="1251"/>
      <c r="L28" s="1251"/>
      <c r="M28" s="1251"/>
      <c r="N28" s="1221" t="s">
        <v>213</v>
      </c>
      <c r="O28" s="1221"/>
      <c r="P28" s="1221"/>
      <c r="Q28" s="1221"/>
      <c r="R28" s="1252" t="s">
        <v>215</v>
      </c>
      <c r="S28" s="1253"/>
      <c r="T28" s="1253"/>
      <c r="U28" s="1253"/>
      <c r="V28" s="1253"/>
      <c r="W28" s="1253"/>
      <c r="X28" s="1253"/>
      <c r="Y28" s="1253"/>
      <c r="Z28" s="1253"/>
      <c r="AA28" s="1253"/>
      <c r="AB28" s="1253"/>
      <c r="AC28" s="1253"/>
      <c r="AD28" s="1253"/>
      <c r="AE28" s="1253"/>
      <c r="AF28" s="1253"/>
      <c r="AG28" s="1253"/>
      <c r="AH28" s="1253"/>
      <c r="AI28" s="1253"/>
      <c r="AJ28" s="1253"/>
      <c r="AK28" s="1253"/>
      <c r="AL28" s="1253"/>
      <c r="AM28" s="1253"/>
      <c r="AN28" s="1253"/>
      <c r="AO28" s="1253"/>
      <c r="AP28" s="1254"/>
    </row>
    <row r="29" spans="2:42">
      <c r="B29" s="1220"/>
      <c r="C29" s="1221"/>
      <c r="D29" s="1221"/>
      <c r="E29" s="1221"/>
      <c r="F29" s="1222" t="s">
        <v>209</v>
      </c>
      <c r="G29" s="1223"/>
      <c r="H29" s="1223"/>
      <c r="I29" s="1224"/>
      <c r="J29" s="1251">
        <v>8.5</v>
      </c>
      <c r="K29" s="1251"/>
      <c r="L29" s="1251"/>
      <c r="M29" s="1251"/>
      <c r="N29" s="1221" t="s">
        <v>213</v>
      </c>
      <c r="O29" s="1221"/>
      <c r="P29" s="1221"/>
      <c r="Q29" s="1221"/>
      <c r="R29" s="1252" t="s">
        <v>215</v>
      </c>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c r="AN29" s="1253"/>
      <c r="AO29" s="1253"/>
      <c r="AP29" s="1254"/>
    </row>
    <row r="30" spans="2:42">
      <c r="B30" s="1220" t="s">
        <v>216</v>
      </c>
      <c r="C30" s="1221"/>
      <c r="D30" s="1221"/>
      <c r="E30" s="1221"/>
      <c r="F30" s="1222" t="s">
        <v>208</v>
      </c>
      <c r="G30" s="1223"/>
      <c r="H30" s="1223"/>
      <c r="I30" s="1224"/>
      <c r="J30" s="1250">
        <v>7.5</v>
      </c>
      <c r="K30" s="1250"/>
      <c r="L30" s="1250"/>
      <c r="M30" s="1250"/>
      <c r="N30" s="1221" t="s">
        <v>213</v>
      </c>
      <c r="O30" s="1221"/>
      <c r="P30" s="1221"/>
      <c r="Q30" s="1221"/>
      <c r="R30" s="1217" t="s">
        <v>336</v>
      </c>
      <c r="S30" s="1218"/>
      <c r="T30" s="1218"/>
      <c r="U30" s="1218"/>
      <c r="V30" s="1218"/>
      <c r="W30" s="1218"/>
      <c r="X30" s="1218"/>
      <c r="Y30" s="1218"/>
      <c r="Z30" s="1218"/>
      <c r="AA30" s="1218"/>
      <c r="AB30" s="1218"/>
      <c r="AC30" s="1218"/>
      <c r="AD30" s="1218"/>
      <c r="AE30" s="1218"/>
      <c r="AF30" s="1218"/>
      <c r="AG30" s="1218"/>
      <c r="AH30" s="1218"/>
      <c r="AI30" s="1218"/>
      <c r="AJ30" s="1218"/>
      <c r="AK30" s="1218"/>
      <c r="AL30" s="1218"/>
      <c r="AM30" s="1218"/>
      <c r="AN30" s="1218"/>
      <c r="AO30" s="1218"/>
      <c r="AP30" s="1219"/>
    </row>
    <row r="31" spans="2:42">
      <c r="B31" s="1220"/>
      <c r="C31" s="1221"/>
      <c r="D31" s="1221"/>
      <c r="E31" s="1221"/>
      <c r="F31" s="1222" t="s">
        <v>209</v>
      </c>
      <c r="G31" s="1223"/>
      <c r="H31" s="1223"/>
      <c r="I31" s="1224"/>
      <c r="J31" s="1250">
        <v>1.5</v>
      </c>
      <c r="K31" s="1250"/>
      <c r="L31" s="1250"/>
      <c r="M31" s="1250"/>
      <c r="N31" s="1221" t="s">
        <v>213</v>
      </c>
      <c r="O31" s="1221"/>
      <c r="P31" s="1221"/>
      <c r="Q31" s="1221"/>
      <c r="R31" s="1217" t="s">
        <v>336</v>
      </c>
      <c r="S31" s="1218"/>
      <c r="T31" s="1218"/>
      <c r="U31" s="1218"/>
      <c r="V31" s="1218"/>
      <c r="W31" s="1218"/>
      <c r="X31" s="1218"/>
      <c r="Y31" s="1218"/>
      <c r="Z31" s="1218"/>
      <c r="AA31" s="1218"/>
      <c r="AB31" s="1218"/>
      <c r="AC31" s="1218"/>
      <c r="AD31" s="1218"/>
      <c r="AE31" s="1218"/>
      <c r="AF31" s="1218"/>
      <c r="AG31" s="1218"/>
      <c r="AH31" s="1218"/>
      <c r="AI31" s="1218"/>
      <c r="AJ31" s="1218"/>
      <c r="AK31" s="1218"/>
      <c r="AL31" s="1218"/>
      <c r="AM31" s="1218"/>
      <c r="AN31" s="1218"/>
      <c r="AO31" s="1218"/>
      <c r="AP31" s="1219"/>
    </row>
    <row r="32" spans="2:42">
      <c r="B32" s="1263"/>
      <c r="C32" s="1264"/>
      <c r="D32" s="1264"/>
      <c r="E32" s="1264"/>
      <c r="F32" s="1264"/>
      <c r="G32" s="1264"/>
      <c r="H32" s="1264"/>
      <c r="I32" s="1264"/>
      <c r="J32" s="1264"/>
      <c r="K32" s="1264"/>
      <c r="L32" s="1264"/>
      <c r="M32" s="1264"/>
      <c r="N32" s="1264"/>
      <c r="O32" s="1264"/>
      <c r="P32" s="1264"/>
      <c r="Q32" s="1264"/>
      <c r="R32" s="1264"/>
      <c r="S32" s="1264"/>
      <c r="T32" s="1264"/>
      <c r="U32" s="1264"/>
      <c r="V32" s="1264"/>
      <c r="W32" s="1264"/>
      <c r="X32" s="1264"/>
      <c r="Y32" s="1264"/>
      <c r="Z32" s="1264"/>
      <c r="AA32" s="1264"/>
      <c r="AB32" s="1264"/>
      <c r="AC32" s="1264"/>
      <c r="AD32" s="1264"/>
      <c r="AE32" s="1264"/>
      <c r="AF32" s="1264"/>
      <c r="AG32" s="1264"/>
      <c r="AH32" s="1264"/>
      <c r="AI32" s="1264"/>
      <c r="AJ32" s="1264"/>
      <c r="AK32" s="1264"/>
      <c r="AL32" s="1264"/>
      <c r="AM32" s="1264"/>
      <c r="AN32" s="1264"/>
      <c r="AO32" s="1264"/>
      <c r="AP32" s="1265"/>
    </row>
    <row r="33" spans="2:42">
      <c r="B33" s="1238" t="s">
        <v>210</v>
      </c>
      <c r="C33" s="1233"/>
      <c r="D33" s="1233"/>
      <c r="E33" s="1233"/>
      <c r="F33" s="1233"/>
      <c r="G33" s="1233"/>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3"/>
      <c r="AL33" s="1233"/>
      <c r="AM33" s="1233"/>
      <c r="AN33" s="1233"/>
      <c r="AO33" s="1233"/>
      <c r="AP33" s="1239"/>
    </row>
    <row r="34" spans="2:42">
      <c r="B34" s="1240" t="s">
        <v>23</v>
      </c>
      <c r="C34" s="1211"/>
      <c r="D34" s="1211"/>
      <c r="E34" s="1211"/>
      <c r="F34" s="1211"/>
      <c r="G34" s="1211"/>
      <c r="H34" s="1211"/>
      <c r="I34" s="1212"/>
      <c r="J34" s="846" t="s">
        <v>206</v>
      </c>
      <c r="K34" s="846"/>
      <c r="L34" s="846"/>
      <c r="M34" s="846"/>
      <c r="N34" s="846" t="s">
        <v>24</v>
      </c>
      <c r="O34" s="846"/>
      <c r="P34" s="846"/>
      <c r="Q34" s="846"/>
      <c r="R34" s="1210" t="s">
        <v>25</v>
      </c>
      <c r="S34" s="1211"/>
      <c r="T34" s="1211"/>
      <c r="U34" s="1211"/>
      <c r="V34" s="1211"/>
      <c r="W34" s="1211"/>
      <c r="X34" s="1211"/>
      <c r="Y34" s="1211"/>
      <c r="Z34" s="1211"/>
      <c r="AA34" s="1211"/>
      <c r="AB34" s="1211"/>
      <c r="AC34" s="1211"/>
      <c r="AD34" s="1211"/>
      <c r="AE34" s="1211"/>
      <c r="AF34" s="1211"/>
      <c r="AG34" s="1211"/>
      <c r="AH34" s="1211"/>
      <c r="AI34" s="1211"/>
      <c r="AJ34" s="1211"/>
      <c r="AK34" s="1211"/>
      <c r="AL34" s="1211"/>
      <c r="AM34" s="1211"/>
      <c r="AN34" s="1211"/>
      <c r="AO34" s="1211"/>
      <c r="AP34" s="1213"/>
    </row>
    <row r="35" spans="2:42" ht="13.5" customHeight="1">
      <c r="B35" s="1255" t="s">
        <v>128</v>
      </c>
      <c r="C35" s="1223"/>
      <c r="D35" s="1223"/>
      <c r="E35" s="1224"/>
      <c r="F35" s="1221" t="s">
        <v>211</v>
      </c>
      <c r="G35" s="1221"/>
      <c r="H35" s="1221"/>
      <c r="I35" s="1221"/>
      <c r="J35" s="1256">
        <v>79</v>
      </c>
      <c r="K35" s="1256"/>
      <c r="L35" s="1256"/>
      <c r="M35" s="1256"/>
      <c r="N35" s="1257" t="s">
        <v>138</v>
      </c>
      <c r="O35" s="1257"/>
      <c r="P35" s="1257"/>
      <c r="Q35" s="1257"/>
      <c r="R35" s="1258" t="s">
        <v>645</v>
      </c>
      <c r="S35" s="1258"/>
      <c r="T35" s="1258"/>
      <c r="U35" s="1258"/>
      <c r="V35" s="1258"/>
      <c r="W35" s="1258"/>
      <c r="X35" s="1258"/>
      <c r="Y35" s="1258"/>
      <c r="Z35" s="1258"/>
      <c r="AA35" s="1258"/>
      <c r="AB35" s="1258"/>
      <c r="AC35" s="1258"/>
      <c r="AD35" s="1258"/>
      <c r="AE35" s="1258"/>
      <c r="AF35" s="1258"/>
      <c r="AG35" s="1258"/>
      <c r="AH35" s="1258"/>
      <c r="AI35" s="1258"/>
      <c r="AJ35" s="1258"/>
      <c r="AK35" s="1258"/>
      <c r="AL35" s="1258"/>
      <c r="AM35" s="1258"/>
      <c r="AN35" s="1258"/>
      <c r="AO35" s="1258"/>
      <c r="AP35" s="1259"/>
    </row>
    <row r="36" spans="2:42">
      <c r="B36" s="1260"/>
      <c r="C36" s="1261"/>
      <c r="D36" s="1261"/>
      <c r="E36" s="1261"/>
      <c r="F36" s="1261"/>
      <c r="G36" s="1261"/>
      <c r="H36" s="1261"/>
      <c r="I36" s="1261"/>
      <c r="J36" s="1261"/>
      <c r="K36" s="1261"/>
      <c r="L36" s="1261"/>
      <c r="M36" s="1261"/>
      <c r="N36" s="1261"/>
      <c r="O36" s="1261"/>
      <c r="P36" s="1261"/>
      <c r="Q36" s="1261"/>
      <c r="R36" s="1261"/>
      <c r="S36" s="1261"/>
      <c r="T36" s="1261"/>
      <c r="U36" s="1261"/>
      <c r="V36" s="1261"/>
      <c r="W36" s="1261"/>
      <c r="X36" s="1261"/>
      <c r="Y36" s="1261"/>
      <c r="Z36" s="1261"/>
      <c r="AA36" s="1261"/>
      <c r="AB36" s="1261"/>
      <c r="AC36" s="1261"/>
      <c r="AD36" s="1261"/>
      <c r="AE36" s="1261"/>
      <c r="AF36" s="1261"/>
      <c r="AG36" s="1261"/>
      <c r="AH36" s="1261"/>
      <c r="AI36" s="1261"/>
      <c r="AJ36" s="1261"/>
      <c r="AK36" s="1261"/>
      <c r="AL36" s="1261"/>
      <c r="AM36" s="1261"/>
      <c r="AN36" s="1261"/>
      <c r="AO36" s="1261"/>
      <c r="AP36" s="1262"/>
    </row>
    <row r="37" spans="2:42" ht="14.25" thickBot="1">
      <c r="B37" s="1272" t="s">
        <v>519</v>
      </c>
      <c r="C37" s="1273"/>
      <c r="D37" s="1273"/>
      <c r="E37" s="1273"/>
      <c r="F37" s="1273"/>
      <c r="G37" s="1273"/>
      <c r="H37" s="1273"/>
      <c r="I37" s="1273"/>
      <c r="J37" s="1273"/>
      <c r="K37" s="1273"/>
      <c r="L37" s="1273"/>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3"/>
      <c r="AL37" s="1273"/>
      <c r="AM37" s="1273"/>
      <c r="AN37" s="1273"/>
      <c r="AO37" s="1273"/>
      <c r="AP37" s="1274"/>
    </row>
    <row r="38" spans="2:42">
      <c r="B38" s="1275" t="s">
        <v>520</v>
      </c>
      <c r="C38" s="1276"/>
      <c r="D38" s="1276"/>
      <c r="E38" s="1277"/>
      <c r="F38" s="1278" t="s">
        <v>518</v>
      </c>
      <c r="G38" s="1276"/>
      <c r="H38" s="1276"/>
      <c r="I38" s="1276"/>
      <c r="J38" s="1276"/>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9"/>
    </row>
    <row r="39" spans="2:42" ht="15">
      <c r="B39" s="1266">
        <v>1</v>
      </c>
      <c r="C39" s="1267"/>
      <c r="D39" s="1267"/>
      <c r="E39" s="1267"/>
      <c r="F39" s="1268" t="s">
        <v>640</v>
      </c>
      <c r="G39" s="1268"/>
      <c r="H39" s="1268"/>
      <c r="I39" s="1268"/>
      <c r="J39" s="1268"/>
      <c r="K39" s="1268"/>
      <c r="L39" s="1268"/>
      <c r="M39" s="1268"/>
      <c r="N39" s="1268"/>
      <c r="O39" s="1268"/>
      <c r="P39" s="1268"/>
      <c r="Q39" s="1268"/>
      <c r="R39" s="1268"/>
      <c r="S39" s="1268"/>
      <c r="T39" s="1268"/>
      <c r="U39" s="1268"/>
      <c r="V39" s="1268"/>
      <c r="W39" s="1268"/>
      <c r="X39" s="1268"/>
      <c r="Y39" s="1268"/>
      <c r="Z39" s="1268"/>
      <c r="AA39" s="1268"/>
      <c r="AB39" s="1268"/>
      <c r="AC39" s="1268"/>
      <c r="AD39" s="1268"/>
      <c r="AE39" s="1268"/>
      <c r="AF39" s="1268"/>
      <c r="AG39" s="1268"/>
      <c r="AH39" s="1268"/>
      <c r="AI39" s="1268"/>
      <c r="AJ39" s="1268"/>
      <c r="AK39" s="1268"/>
      <c r="AL39" s="1268"/>
      <c r="AM39" s="1268"/>
      <c r="AN39" s="1268"/>
      <c r="AO39" s="1268"/>
      <c r="AP39" s="1269"/>
    </row>
    <row r="40" spans="2:42" ht="15">
      <c r="B40" s="1266">
        <v>2</v>
      </c>
      <c r="C40" s="1267"/>
      <c r="D40" s="1267"/>
      <c r="E40" s="1267"/>
      <c r="F40" s="1268" t="s">
        <v>727</v>
      </c>
      <c r="G40" s="1268"/>
      <c r="H40" s="1268"/>
      <c r="I40" s="1268"/>
      <c r="J40" s="1268"/>
      <c r="K40" s="1268"/>
      <c r="L40" s="1268"/>
      <c r="M40" s="1268"/>
      <c r="N40" s="1268"/>
      <c r="O40" s="1268"/>
      <c r="P40" s="1268"/>
      <c r="Q40" s="1268"/>
      <c r="R40" s="1268"/>
      <c r="S40" s="1268"/>
      <c r="T40" s="1268"/>
      <c r="U40" s="1268"/>
      <c r="V40" s="1268"/>
      <c r="W40" s="1268"/>
      <c r="X40" s="1268"/>
      <c r="Y40" s="1268"/>
      <c r="Z40" s="1268"/>
      <c r="AA40" s="1268"/>
      <c r="AB40" s="1268"/>
      <c r="AC40" s="1268"/>
      <c r="AD40" s="1268"/>
      <c r="AE40" s="1268"/>
      <c r="AF40" s="1268"/>
      <c r="AG40" s="1268"/>
      <c r="AH40" s="1268"/>
      <c r="AI40" s="1268"/>
      <c r="AJ40" s="1268"/>
      <c r="AK40" s="1268"/>
      <c r="AL40" s="1268"/>
      <c r="AM40" s="1268"/>
      <c r="AN40" s="1268"/>
      <c r="AO40" s="1268"/>
      <c r="AP40" s="1269"/>
    </row>
    <row r="41" spans="2:42" ht="15">
      <c r="B41" s="1266">
        <v>3</v>
      </c>
      <c r="C41" s="1267"/>
      <c r="D41" s="1267"/>
      <c r="E41" s="1267"/>
      <c r="F41" s="1268" t="s">
        <v>646</v>
      </c>
      <c r="G41" s="1268"/>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8"/>
      <c r="AE41" s="1268"/>
      <c r="AF41" s="1268"/>
      <c r="AG41" s="1268"/>
      <c r="AH41" s="1268"/>
      <c r="AI41" s="1268"/>
      <c r="AJ41" s="1268"/>
      <c r="AK41" s="1268"/>
      <c r="AL41" s="1268"/>
      <c r="AM41" s="1268"/>
      <c r="AN41" s="1268"/>
      <c r="AO41" s="1268"/>
      <c r="AP41" s="1269"/>
    </row>
    <row r="42" spans="2:42" ht="15">
      <c r="B42" s="1266">
        <v>4</v>
      </c>
      <c r="C42" s="1267"/>
      <c r="D42" s="1267"/>
      <c r="E42" s="1267"/>
      <c r="F42" s="1270" t="s">
        <v>495</v>
      </c>
      <c r="G42" s="1270"/>
      <c r="H42" s="1270"/>
      <c r="I42" s="1270"/>
      <c r="J42" s="1270"/>
      <c r="K42" s="1270"/>
      <c r="L42" s="1270"/>
      <c r="M42" s="1270"/>
      <c r="N42" s="1270"/>
      <c r="O42" s="1270"/>
      <c r="P42" s="1270"/>
      <c r="Q42" s="1270"/>
      <c r="R42" s="1270"/>
      <c r="S42" s="1270"/>
      <c r="T42" s="1270"/>
      <c r="U42" s="1270"/>
      <c r="V42" s="1270"/>
      <c r="W42" s="1270"/>
      <c r="X42" s="1270"/>
      <c r="Y42" s="1270"/>
      <c r="Z42" s="1270"/>
      <c r="AA42" s="1270"/>
      <c r="AB42" s="1270"/>
      <c r="AC42" s="1270"/>
      <c r="AD42" s="1270"/>
      <c r="AE42" s="1270"/>
      <c r="AF42" s="1270"/>
      <c r="AG42" s="1270"/>
      <c r="AH42" s="1270"/>
      <c r="AI42" s="1270"/>
      <c r="AJ42" s="1270"/>
      <c r="AK42" s="1270"/>
      <c r="AL42" s="1270"/>
      <c r="AM42" s="1270"/>
      <c r="AN42" s="1270"/>
      <c r="AO42" s="1270"/>
      <c r="AP42" s="1271"/>
    </row>
    <row r="43" spans="2:42">
      <c r="B43" s="1266">
        <v>5</v>
      </c>
      <c r="C43" s="1267"/>
      <c r="D43" s="1267"/>
      <c r="E43" s="1267"/>
      <c r="F43" s="1268" t="s">
        <v>728</v>
      </c>
      <c r="G43" s="1268"/>
      <c r="H43" s="1268"/>
      <c r="I43" s="1268"/>
      <c r="J43" s="1268"/>
      <c r="K43" s="1268"/>
      <c r="L43" s="1268"/>
      <c r="M43" s="1268"/>
      <c r="N43" s="1268"/>
      <c r="O43" s="1268"/>
      <c r="P43" s="1268"/>
      <c r="Q43" s="1268"/>
      <c r="R43" s="1268"/>
      <c r="S43" s="1268"/>
      <c r="T43" s="1268"/>
      <c r="U43" s="1268"/>
      <c r="V43" s="1268"/>
      <c r="W43" s="1268"/>
      <c r="X43" s="1268"/>
      <c r="Y43" s="1268"/>
      <c r="Z43" s="1268"/>
      <c r="AA43" s="1268"/>
      <c r="AB43" s="1268"/>
      <c r="AC43" s="1268"/>
      <c r="AD43" s="1268"/>
      <c r="AE43" s="1268"/>
      <c r="AF43" s="1268"/>
      <c r="AG43" s="1268"/>
      <c r="AH43" s="1268"/>
      <c r="AI43" s="1268"/>
      <c r="AJ43" s="1268"/>
      <c r="AK43" s="1268"/>
      <c r="AL43" s="1268"/>
      <c r="AM43" s="1268"/>
      <c r="AN43" s="1268"/>
      <c r="AO43" s="1268"/>
      <c r="AP43" s="1269"/>
    </row>
    <row r="44" spans="2:42">
      <c r="B44" s="1266">
        <v>6</v>
      </c>
      <c r="C44" s="1267"/>
      <c r="D44" s="1267"/>
      <c r="E44" s="1267"/>
      <c r="F44" s="1268" t="s">
        <v>496</v>
      </c>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c r="AD44" s="1268"/>
      <c r="AE44" s="1268"/>
      <c r="AF44" s="1268"/>
      <c r="AG44" s="1268"/>
      <c r="AH44" s="1268"/>
      <c r="AI44" s="1268"/>
      <c r="AJ44" s="1268"/>
      <c r="AK44" s="1268"/>
      <c r="AL44" s="1268"/>
      <c r="AM44" s="1268"/>
      <c r="AN44" s="1268"/>
      <c r="AO44" s="1268"/>
      <c r="AP44" s="1269"/>
    </row>
    <row r="45" spans="2:42" ht="15">
      <c r="B45" s="1266">
        <v>7</v>
      </c>
      <c r="C45" s="1267"/>
      <c r="D45" s="1267"/>
      <c r="E45" s="1267"/>
      <c r="F45" s="1268" t="s">
        <v>497</v>
      </c>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c r="AD45" s="1268"/>
      <c r="AE45" s="1268"/>
      <c r="AF45" s="1268"/>
      <c r="AG45" s="1268"/>
      <c r="AH45" s="1268"/>
      <c r="AI45" s="1268"/>
      <c r="AJ45" s="1268"/>
      <c r="AK45" s="1268"/>
      <c r="AL45" s="1268"/>
      <c r="AM45" s="1268"/>
      <c r="AN45" s="1268"/>
      <c r="AO45" s="1268"/>
      <c r="AP45" s="1269"/>
    </row>
    <row r="46" spans="2:42" ht="15">
      <c r="B46" s="1266">
        <v>8</v>
      </c>
      <c r="C46" s="1267"/>
      <c r="D46" s="1267"/>
      <c r="E46" s="1267"/>
      <c r="F46" s="1268" t="s">
        <v>498</v>
      </c>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c r="AD46" s="1268"/>
      <c r="AE46" s="1268"/>
      <c r="AF46" s="1268"/>
      <c r="AG46" s="1268"/>
      <c r="AH46" s="1268"/>
      <c r="AI46" s="1268"/>
      <c r="AJ46" s="1268"/>
      <c r="AK46" s="1268"/>
      <c r="AL46" s="1268"/>
      <c r="AM46" s="1268"/>
      <c r="AN46" s="1268"/>
      <c r="AO46" s="1268"/>
      <c r="AP46" s="1269"/>
    </row>
    <row r="47" spans="2:42">
      <c r="B47" s="1266">
        <v>9</v>
      </c>
      <c r="C47" s="1267"/>
      <c r="D47" s="1267"/>
      <c r="E47" s="1267"/>
      <c r="F47" s="1280" t="s">
        <v>726</v>
      </c>
      <c r="G47" s="1280"/>
      <c r="H47" s="1280"/>
      <c r="I47" s="1280"/>
      <c r="J47" s="1280"/>
      <c r="K47" s="1280"/>
      <c r="L47" s="1280"/>
      <c r="M47" s="1280"/>
      <c r="N47" s="1280"/>
      <c r="O47" s="1280"/>
      <c r="P47" s="1280"/>
      <c r="Q47" s="1280"/>
      <c r="R47" s="1280"/>
      <c r="S47" s="1280"/>
      <c r="T47" s="1280"/>
      <c r="U47" s="1280"/>
      <c r="V47" s="1280"/>
      <c r="W47" s="1280"/>
      <c r="X47" s="1280"/>
      <c r="Y47" s="1280"/>
      <c r="Z47" s="1280"/>
      <c r="AA47" s="1280"/>
      <c r="AB47" s="1280"/>
      <c r="AC47" s="1280"/>
      <c r="AD47" s="1280"/>
      <c r="AE47" s="1280"/>
      <c r="AF47" s="1280"/>
      <c r="AG47" s="1280"/>
      <c r="AH47" s="1280"/>
      <c r="AI47" s="1280"/>
      <c r="AJ47" s="1280"/>
      <c r="AK47" s="1280"/>
      <c r="AL47" s="1280"/>
      <c r="AM47" s="1280"/>
      <c r="AN47" s="1280"/>
      <c r="AO47" s="1280"/>
      <c r="AP47" s="1281"/>
    </row>
    <row r="48" spans="2:42">
      <c r="B48" s="1266">
        <v>10</v>
      </c>
      <c r="C48" s="1267"/>
      <c r="D48" s="1267"/>
      <c r="E48" s="1267"/>
      <c r="F48" s="1268" t="s">
        <v>499</v>
      </c>
      <c r="G48" s="1268"/>
      <c r="H48" s="1268"/>
      <c r="I48" s="1268"/>
      <c r="J48" s="1268"/>
      <c r="K48" s="1268"/>
      <c r="L48" s="1268"/>
      <c r="M48" s="1268"/>
      <c r="N48" s="1268"/>
      <c r="O48" s="1268"/>
      <c r="P48" s="1268"/>
      <c r="Q48" s="1268"/>
      <c r="R48" s="1268"/>
      <c r="S48" s="1268"/>
      <c r="T48" s="1268"/>
      <c r="U48" s="1268"/>
      <c r="V48" s="1268"/>
      <c r="W48" s="1268"/>
      <c r="X48" s="1268"/>
      <c r="Y48" s="1268"/>
      <c r="Z48" s="1268"/>
      <c r="AA48" s="1268"/>
      <c r="AB48" s="1268"/>
      <c r="AC48" s="1268"/>
      <c r="AD48" s="1268"/>
      <c r="AE48" s="1268"/>
      <c r="AF48" s="1268"/>
      <c r="AG48" s="1268"/>
      <c r="AH48" s="1268"/>
      <c r="AI48" s="1268"/>
      <c r="AJ48" s="1268"/>
      <c r="AK48" s="1268"/>
      <c r="AL48" s="1268"/>
      <c r="AM48" s="1268"/>
      <c r="AN48" s="1268"/>
      <c r="AO48" s="1268"/>
      <c r="AP48" s="1269"/>
    </row>
    <row r="49" spans="2:42" ht="15">
      <c r="B49" s="1282">
        <v>11</v>
      </c>
      <c r="C49" s="1283"/>
      <c r="D49" s="1283"/>
      <c r="E49" s="1283"/>
      <c r="F49" s="1268" t="s">
        <v>500</v>
      </c>
      <c r="G49" s="1268"/>
      <c r="H49" s="1268"/>
      <c r="I49" s="1268"/>
      <c r="J49" s="1268"/>
      <c r="K49" s="1268"/>
      <c r="L49" s="1268"/>
      <c r="M49" s="1268"/>
      <c r="N49" s="1268"/>
      <c r="O49" s="1268"/>
      <c r="P49" s="1268"/>
      <c r="Q49" s="1268"/>
      <c r="R49" s="1268"/>
      <c r="S49" s="1268"/>
      <c r="T49" s="1268"/>
      <c r="U49" s="1268"/>
      <c r="V49" s="1268"/>
      <c r="W49" s="1268"/>
      <c r="X49" s="1268"/>
      <c r="Y49" s="1268"/>
      <c r="Z49" s="1268"/>
      <c r="AA49" s="1268"/>
      <c r="AB49" s="1268"/>
      <c r="AC49" s="1268"/>
      <c r="AD49" s="1268"/>
      <c r="AE49" s="1268"/>
      <c r="AF49" s="1268"/>
      <c r="AG49" s="1268"/>
      <c r="AH49" s="1268"/>
      <c r="AI49" s="1268"/>
      <c r="AJ49" s="1268"/>
      <c r="AK49" s="1268"/>
      <c r="AL49" s="1268"/>
      <c r="AM49" s="1268"/>
      <c r="AN49" s="1268"/>
      <c r="AO49" s="1268"/>
      <c r="AP49" s="1269"/>
    </row>
    <row r="50" spans="2:42">
      <c r="B50" s="1282">
        <v>12</v>
      </c>
      <c r="C50" s="1283"/>
      <c r="D50" s="1283"/>
      <c r="E50" s="1283"/>
      <c r="F50" s="1268" t="s">
        <v>501</v>
      </c>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c r="AD50" s="1268"/>
      <c r="AE50" s="1268"/>
      <c r="AF50" s="1268"/>
      <c r="AG50" s="1268"/>
      <c r="AH50" s="1268"/>
      <c r="AI50" s="1268"/>
      <c r="AJ50" s="1268"/>
      <c r="AK50" s="1268"/>
      <c r="AL50" s="1268"/>
      <c r="AM50" s="1268"/>
      <c r="AN50" s="1268"/>
      <c r="AO50" s="1268"/>
      <c r="AP50" s="1269"/>
    </row>
    <row r="51" spans="2:42">
      <c r="B51" s="1282">
        <v>13</v>
      </c>
      <c r="C51" s="1283"/>
      <c r="D51" s="1283"/>
      <c r="E51" s="1283"/>
      <c r="F51" s="1268" t="s">
        <v>502</v>
      </c>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c r="AD51" s="1268"/>
      <c r="AE51" s="1268"/>
      <c r="AF51" s="1268"/>
      <c r="AG51" s="1268"/>
      <c r="AH51" s="1268"/>
      <c r="AI51" s="1268"/>
      <c r="AJ51" s="1268"/>
      <c r="AK51" s="1268"/>
      <c r="AL51" s="1268"/>
      <c r="AM51" s="1268"/>
      <c r="AN51" s="1268"/>
      <c r="AO51" s="1268"/>
      <c r="AP51" s="1269"/>
    </row>
    <row r="52" spans="2:42" ht="15">
      <c r="B52" s="1282">
        <v>14</v>
      </c>
      <c r="C52" s="1283"/>
      <c r="D52" s="1283"/>
      <c r="E52" s="1283"/>
      <c r="F52" s="1270" t="s">
        <v>642</v>
      </c>
      <c r="G52" s="1270"/>
      <c r="H52" s="1270"/>
      <c r="I52" s="1270"/>
      <c r="J52" s="1270"/>
      <c r="K52" s="1270"/>
      <c r="L52" s="1270"/>
      <c r="M52" s="1270"/>
      <c r="N52" s="1270"/>
      <c r="O52" s="1270"/>
      <c r="P52" s="1270"/>
      <c r="Q52" s="1270"/>
      <c r="R52" s="1270"/>
      <c r="S52" s="1270"/>
      <c r="T52" s="1270"/>
      <c r="U52" s="1270"/>
      <c r="V52" s="1270"/>
      <c r="W52" s="1270"/>
      <c r="X52" s="1270"/>
      <c r="Y52" s="1270"/>
      <c r="Z52" s="1270"/>
      <c r="AA52" s="1270"/>
      <c r="AB52" s="1270"/>
      <c r="AC52" s="1270"/>
      <c r="AD52" s="1270"/>
      <c r="AE52" s="1270"/>
      <c r="AF52" s="1270"/>
      <c r="AG52" s="1270"/>
      <c r="AH52" s="1270"/>
      <c r="AI52" s="1270"/>
      <c r="AJ52" s="1270"/>
      <c r="AK52" s="1270"/>
      <c r="AL52" s="1270"/>
      <c r="AM52" s="1270"/>
      <c r="AN52" s="1270"/>
      <c r="AO52" s="1270"/>
      <c r="AP52" s="1271"/>
    </row>
    <row r="53" spans="2:42">
      <c r="B53" s="1282">
        <v>15</v>
      </c>
      <c r="C53" s="1283"/>
      <c r="D53" s="1283"/>
      <c r="E53" s="1283"/>
      <c r="F53" s="1268" t="s">
        <v>641</v>
      </c>
      <c r="G53" s="1268"/>
      <c r="H53" s="1268"/>
      <c r="I53" s="1268"/>
      <c r="J53" s="1268"/>
      <c r="K53" s="1268"/>
      <c r="L53" s="1268"/>
      <c r="M53" s="1268"/>
      <c r="N53" s="1268"/>
      <c r="O53" s="1268"/>
      <c r="P53" s="1268"/>
      <c r="Q53" s="1268"/>
      <c r="R53" s="1268"/>
      <c r="S53" s="1268"/>
      <c r="T53" s="1268"/>
      <c r="U53" s="1268"/>
      <c r="V53" s="1268"/>
      <c r="W53" s="1268"/>
      <c r="X53" s="1268"/>
      <c r="Y53" s="1268"/>
      <c r="Z53" s="1268"/>
      <c r="AA53" s="1268"/>
      <c r="AB53" s="1268"/>
      <c r="AC53" s="1268"/>
      <c r="AD53" s="1268"/>
      <c r="AE53" s="1268"/>
      <c r="AF53" s="1268"/>
      <c r="AG53" s="1268"/>
      <c r="AH53" s="1268"/>
      <c r="AI53" s="1268"/>
      <c r="AJ53" s="1268"/>
      <c r="AK53" s="1268"/>
      <c r="AL53" s="1268"/>
      <c r="AM53" s="1268"/>
      <c r="AN53" s="1268"/>
      <c r="AO53" s="1268"/>
      <c r="AP53" s="1269"/>
    </row>
    <row r="54" spans="2:42">
      <c r="B54" s="1284">
        <v>16</v>
      </c>
      <c r="C54" s="1285"/>
      <c r="D54" s="1285"/>
      <c r="E54" s="1285"/>
      <c r="F54" s="1288" t="s">
        <v>503</v>
      </c>
      <c r="G54" s="1288"/>
      <c r="H54" s="1288"/>
      <c r="I54" s="1288"/>
      <c r="J54" s="1288"/>
      <c r="K54" s="1288"/>
      <c r="L54" s="1288"/>
      <c r="M54" s="1288"/>
      <c r="N54" s="1288"/>
      <c r="O54" s="1288"/>
      <c r="P54" s="1288"/>
      <c r="Q54" s="1288"/>
      <c r="R54" s="1288"/>
      <c r="S54" s="1288"/>
      <c r="T54" s="1288"/>
      <c r="U54" s="1288"/>
      <c r="V54" s="1288"/>
      <c r="W54" s="1288"/>
      <c r="X54" s="1288"/>
      <c r="Y54" s="1288"/>
      <c r="Z54" s="1288"/>
      <c r="AA54" s="1288"/>
      <c r="AB54" s="1288"/>
      <c r="AC54" s="1288"/>
      <c r="AD54" s="1288"/>
      <c r="AE54" s="1288"/>
      <c r="AF54" s="1288"/>
      <c r="AG54" s="1288"/>
      <c r="AH54" s="1288"/>
      <c r="AI54" s="1288"/>
      <c r="AJ54" s="1288"/>
      <c r="AK54" s="1288"/>
      <c r="AL54" s="1288"/>
      <c r="AM54" s="1288"/>
      <c r="AN54" s="1288"/>
      <c r="AO54" s="1288"/>
      <c r="AP54" s="1289"/>
    </row>
    <row r="55" spans="2:42" ht="14.25" thickBot="1">
      <c r="B55" s="1286"/>
      <c r="C55" s="1287"/>
      <c r="D55" s="1287"/>
      <c r="E55" s="1287"/>
      <c r="F55" s="1290"/>
      <c r="G55" s="1290"/>
      <c r="H55" s="1290"/>
      <c r="I55" s="1290"/>
      <c r="J55" s="1290"/>
      <c r="K55" s="1290"/>
      <c r="L55" s="1290"/>
      <c r="M55" s="1290"/>
      <c r="N55" s="1290"/>
      <c r="O55" s="1290"/>
      <c r="P55" s="1290"/>
      <c r="Q55" s="1290"/>
      <c r="R55" s="1290"/>
      <c r="S55" s="1290"/>
      <c r="T55" s="1290"/>
      <c r="U55" s="1290"/>
      <c r="V55" s="1290"/>
      <c r="W55" s="1290"/>
      <c r="X55" s="1290"/>
      <c r="Y55" s="1290"/>
      <c r="Z55" s="1290"/>
      <c r="AA55" s="1290"/>
      <c r="AB55" s="1290"/>
      <c r="AC55" s="1290"/>
      <c r="AD55" s="1290"/>
      <c r="AE55" s="1290"/>
      <c r="AF55" s="1290"/>
      <c r="AG55" s="1290"/>
      <c r="AH55" s="1290"/>
      <c r="AI55" s="1290"/>
      <c r="AJ55" s="1290"/>
      <c r="AK55" s="1290"/>
      <c r="AL55" s="1290"/>
      <c r="AM55" s="1290"/>
      <c r="AN55" s="1290"/>
      <c r="AO55" s="1290"/>
      <c r="AP55" s="1291"/>
    </row>
  </sheetData>
  <mergeCells count="189">
    <mergeCell ref="B53:E53"/>
    <mergeCell ref="F53:AP53"/>
    <mergeCell ref="B54:E55"/>
    <mergeCell ref="F54:AP55"/>
    <mergeCell ref="B50:E50"/>
    <mergeCell ref="F50:AP50"/>
    <mergeCell ref="B51:E51"/>
    <mergeCell ref="F51:AP51"/>
    <mergeCell ref="B52:E52"/>
    <mergeCell ref="F52:AP52"/>
    <mergeCell ref="B47:E47"/>
    <mergeCell ref="F47:AP47"/>
    <mergeCell ref="B48:E48"/>
    <mergeCell ref="F48:AP48"/>
    <mergeCell ref="B49:E49"/>
    <mergeCell ref="F49:AP49"/>
    <mergeCell ref="B44:E44"/>
    <mergeCell ref="F44:AP44"/>
    <mergeCell ref="B45:E45"/>
    <mergeCell ref="F45:AP45"/>
    <mergeCell ref="B46:E46"/>
    <mergeCell ref="F46:AP46"/>
    <mergeCell ref="B41:E41"/>
    <mergeCell ref="F41:AP41"/>
    <mergeCell ref="B42:E42"/>
    <mergeCell ref="F42:AP42"/>
    <mergeCell ref="B43:E43"/>
    <mergeCell ref="F43:AP43"/>
    <mergeCell ref="B37:AP37"/>
    <mergeCell ref="B38:E38"/>
    <mergeCell ref="F38:AP38"/>
    <mergeCell ref="B39:E39"/>
    <mergeCell ref="F39:AP39"/>
    <mergeCell ref="B40:E40"/>
    <mergeCell ref="F40:AP40"/>
    <mergeCell ref="B35:E35"/>
    <mergeCell ref="F35:I35"/>
    <mergeCell ref="J35:M35"/>
    <mergeCell ref="N35:Q35"/>
    <mergeCell ref="R35:AP35"/>
    <mergeCell ref="B36:AP36"/>
    <mergeCell ref="B32:AP32"/>
    <mergeCell ref="B33:AP33"/>
    <mergeCell ref="B34:I34"/>
    <mergeCell ref="J34:M34"/>
    <mergeCell ref="N34:Q34"/>
    <mergeCell ref="R34:AP34"/>
    <mergeCell ref="B30:E31"/>
    <mergeCell ref="F30:I30"/>
    <mergeCell ref="J30:M30"/>
    <mergeCell ref="N30:Q30"/>
    <mergeCell ref="R30:AP30"/>
    <mergeCell ref="F31:I31"/>
    <mergeCell ref="J31:M31"/>
    <mergeCell ref="N31:Q31"/>
    <mergeCell ref="R31:AP31"/>
    <mergeCell ref="B28:E29"/>
    <mergeCell ref="F28:I28"/>
    <mergeCell ref="J28:M28"/>
    <mergeCell ref="N28:Q28"/>
    <mergeCell ref="R28:AP28"/>
    <mergeCell ref="F29:I29"/>
    <mergeCell ref="J29:M29"/>
    <mergeCell ref="N29:Q29"/>
    <mergeCell ref="R29:AP29"/>
    <mergeCell ref="B26:E27"/>
    <mergeCell ref="F26:I26"/>
    <mergeCell ref="J26:M26"/>
    <mergeCell ref="N26:Q26"/>
    <mergeCell ref="R26:AP26"/>
    <mergeCell ref="F27:I27"/>
    <mergeCell ref="J27:M27"/>
    <mergeCell ref="N27:Q27"/>
    <mergeCell ref="R27:AP27"/>
    <mergeCell ref="J24:M24"/>
    <mergeCell ref="N24:Q24"/>
    <mergeCell ref="R24:AP24"/>
    <mergeCell ref="F25:I25"/>
    <mergeCell ref="J25:M25"/>
    <mergeCell ref="N25:Q25"/>
    <mergeCell ref="R25:AP25"/>
    <mergeCell ref="B22:E25"/>
    <mergeCell ref="F22:I22"/>
    <mergeCell ref="J22:M22"/>
    <mergeCell ref="N22:Q22"/>
    <mergeCell ref="R22:AP22"/>
    <mergeCell ref="F23:I23"/>
    <mergeCell ref="J23:M23"/>
    <mergeCell ref="N23:Q23"/>
    <mergeCell ref="R23:AP23"/>
    <mergeCell ref="F24:I24"/>
    <mergeCell ref="B20:E21"/>
    <mergeCell ref="F20:I20"/>
    <mergeCell ref="J20:M20"/>
    <mergeCell ref="N20:Q20"/>
    <mergeCell ref="R20:AP20"/>
    <mergeCell ref="F21:I21"/>
    <mergeCell ref="J21:M21"/>
    <mergeCell ref="N21:Q21"/>
    <mergeCell ref="R21:AP21"/>
    <mergeCell ref="B17:AP17"/>
    <mergeCell ref="B18:AP18"/>
    <mergeCell ref="B19:I19"/>
    <mergeCell ref="J19:M19"/>
    <mergeCell ref="N19:Q19"/>
    <mergeCell ref="R19:AP19"/>
    <mergeCell ref="Z15:AC15"/>
    <mergeCell ref="AD15:AP15"/>
    <mergeCell ref="B16:E16"/>
    <mergeCell ref="F16:I16"/>
    <mergeCell ref="J16:M16"/>
    <mergeCell ref="N16:Q16"/>
    <mergeCell ref="R16:U16"/>
    <mergeCell ref="V16:Y16"/>
    <mergeCell ref="Z16:AC16"/>
    <mergeCell ref="AD16:AP16"/>
    <mergeCell ref="B15:E15"/>
    <mergeCell ref="F15:I15"/>
    <mergeCell ref="J15:M15"/>
    <mergeCell ref="N15:Q15"/>
    <mergeCell ref="R15:U15"/>
    <mergeCell ref="V15:Y15"/>
    <mergeCell ref="Z13:AC13"/>
    <mergeCell ref="AD13:AP13"/>
    <mergeCell ref="B14:E14"/>
    <mergeCell ref="F14:I14"/>
    <mergeCell ref="J14:M14"/>
    <mergeCell ref="N14:Q14"/>
    <mergeCell ref="R14:U14"/>
    <mergeCell ref="V14:Y14"/>
    <mergeCell ref="Z14:AC14"/>
    <mergeCell ref="AD14:AP14"/>
    <mergeCell ref="B13:E13"/>
    <mergeCell ref="F13:I13"/>
    <mergeCell ref="J13:M13"/>
    <mergeCell ref="N13:Q13"/>
    <mergeCell ref="R13:U13"/>
    <mergeCell ref="V13:Y13"/>
    <mergeCell ref="B11:AP11"/>
    <mergeCell ref="B12:E12"/>
    <mergeCell ref="F12:I12"/>
    <mergeCell ref="J12:M12"/>
    <mergeCell ref="N12:Q12"/>
    <mergeCell ref="R12:U12"/>
    <mergeCell ref="V12:Y12"/>
    <mergeCell ref="Z12:AC12"/>
    <mergeCell ref="AD12:AP12"/>
    <mergeCell ref="Z8:AC8"/>
    <mergeCell ref="AD8:AP8"/>
    <mergeCell ref="B9:E9"/>
    <mergeCell ref="F9:I9"/>
    <mergeCell ref="J9:M9"/>
    <mergeCell ref="N9:Q9"/>
    <mergeCell ref="R9:U9"/>
    <mergeCell ref="V9:Y9"/>
    <mergeCell ref="Z9:AC9"/>
    <mergeCell ref="AD9:AP9"/>
    <mergeCell ref="B8:E8"/>
    <mergeCell ref="F8:I8"/>
    <mergeCell ref="J8:M8"/>
    <mergeCell ref="N8:Q8"/>
    <mergeCell ref="R8:U8"/>
    <mergeCell ref="V8:Y8"/>
    <mergeCell ref="Z6:AC6"/>
    <mergeCell ref="AD6:AP6"/>
    <mergeCell ref="B7:E7"/>
    <mergeCell ref="F7:I7"/>
    <mergeCell ref="J7:M7"/>
    <mergeCell ref="N7:Q7"/>
    <mergeCell ref="R7:U7"/>
    <mergeCell ref="V7:Y7"/>
    <mergeCell ref="Z7:AC7"/>
    <mergeCell ref="AD7:AP7"/>
    <mergeCell ref="B6:E6"/>
    <mergeCell ref="F6:I6"/>
    <mergeCell ref="J6:M6"/>
    <mergeCell ref="N6:Q6"/>
    <mergeCell ref="R6:U6"/>
    <mergeCell ref="V6:Y6"/>
    <mergeCell ref="B3:AP3"/>
    <mergeCell ref="B4:AP4"/>
    <mergeCell ref="B5:E5"/>
    <mergeCell ref="F5:I5"/>
    <mergeCell ref="J5:M5"/>
    <mergeCell ref="N5:Q5"/>
    <mergeCell ref="R5:U5"/>
    <mergeCell ref="V5:Y5"/>
    <mergeCell ref="Z5:AC5"/>
    <mergeCell ref="AD5:AP5"/>
  </mergeCells>
  <phoneticPr fontId="2"/>
  <printOptions horizontalCentered="1" verticalCentered="1"/>
  <pageMargins left="0.70866141732283472" right="0.70866141732283472" top="0.74803149606299213" bottom="0.74803149606299213" header="0.31496062992125984" footer="0.31496062992125984"/>
  <pageSetup paperSize="9" scale="69"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4:H23"/>
  <sheetViews>
    <sheetView showGridLines="0" workbookViewId="0"/>
  </sheetViews>
  <sheetFormatPr defaultRowHeight="13.5"/>
  <sheetData>
    <row r="14" spans="2:8" ht="14.25" thickBot="1"/>
    <row r="15" spans="2:8">
      <c r="B15" s="1292" t="s">
        <v>147</v>
      </c>
      <c r="C15" s="1293"/>
      <c r="D15" s="1293"/>
      <c r="E15" s="1293"/>
      <c r="F15" s="1293"/>
      <c r="G15" s="1293"/>
      <c r="H15" s="1294"/>
    </row>
    <row r="16" spans="2:8">
      <c r="B16" s="1295"/>
      <c r="C16" s="1296"/>
      <c r="D16" s="1296"/>
      <c r="E16" s="1296"/>
      <c r="F16" s="1296"/>
      <c r="G16" s="1296"/>
      <c r="H16" s="1297"/>
    </row>
    <row r="17" spans="2:8">
      <c r="B17" s="1295"/>
      <c r="C17" s="1296"/>
      <c r="D17" s="1296"/>
      <c r="E17" s="1296"/>
      <c r="F17" s="1296"/>
      <c r="G17" s="1296"/>
      <c r="H17" s="1297"/>
    </row>
    <row r="18" spans="2:8">
      <c r="B18" s="1295"/>
      <c r="C18" s="1296"/>
      <c r="D18" s="1296"/>
      <c r="E18" s="1296"/>
      <c r="F18" s="1296"/>
      <c r="G18" s="1296"/>
      <c r="H18" s="1297"/>
    </row>
    <row r="19" spans="2:8">
      <c r="B19" s="1295"/>
      <c r="C19" s="1296"/>
      <c r="D19" s="1296"/>
      <c r="E19" s="1296"/>
      <c r="F19" s="1296"/>
      <c r="G19" s="1296"/>
      <c r="H19" s="1297"/>
    </row>
    <row r="20" spans="2:8">
      <c r="B20" s="1295"/>
      <c r="C20" s="1296"/>
      <c r="D20" s="1296"/>
      <c r="E20" s="1296"/>
      <c r="F20" s="1296"/>
      <c r="G20" s="1296"/>
      <c r="H20" s="1297"/>
    </row>
    <row r="21" spans="2:8">
      <c r="B21" s="1295"/>
      <c r="C21" s="1296"/>
      <c r="D21" s="1296"/>
      <c r="E21" s="1296"/>
      <c r="F21" s="1296"/>
      <c r="G21" s="1296"/>
      <c r="H21" s="1297"/>
    </row>
    <row r="22" spans="2:8">
      <c r="B22" s="1295"/>
      <c r="C22" s="1296"/>
      <c r="D22" s="1296"/>
      <c r="E22" s="1296"/>
      <c r="F22" s="1296"/>
      <c r="G22" s="1296"/>
      <c r="H22" s="1297"/>
    </row>
    <row r="23" spans="2:8" ht="14.25" thickBot="1">
      <c r="B23" s="1298"/>
      <c r="C23" s="1299"/>
      <c r="D23" s="1299"/>
      <c r="E23" s="1299"/>
      <c r="F23" s="1299"/>
      <c r="G23" s="1299"/>
      <c r="H23" s="1300"/>
    </row>
  </sheetData>
  <mergeCells count="1">
    <mergeCell ref="B15:H2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データ入力</vt:lpstr>
      <vt:lpstr>①はじめに</vt:lpstr>
      <vt:lpstr>②処理フロー（イメージ）</vt:lpstr>
      <vt:lpstr>③基本情報入力【例】</vt:lpstr>
      <vt:lpstr>④算定結果【例】</vt:lpstr>
      <vt:lpstr>⑤基本情報入力</vt:lpstr>
      <vt:lpstr>⑥算定結果</vt:lpstr>
      <vt:lpstr>⑦入力参考値</vt:lpstr>
      <vt:lpstr>⑧計算シート→</vt:lpstr>
      <vt:lpstr>物質収支（既存）</vt:lpstr>
      <vt:lpstr>計算条件（既存）</vt:lpstr>
      <vt:lpstr>施設規模の設定（既存）</vt:lpstr>
      <vt:lpstr>事業費（既存）</vt:lpstr>
      <vt:lpstr>物質収支（いしかわモデル）</vt:lpstr>
      <vt:lpstr>施設規模の設定（いしかわモデル）</vt:lpstr>
      <vt:lpstr>計算条件（いしかわモデル）</vt:lpstr>
      <vt:lpstr>事業費（いしかわモデル）</vt:lpstr>
      <vt:lpstr>物質収支（既存）【例】</vt:lpstr>
      <vt:lpstr>施設規模の設定（既存）【例】</vt:lpstr>
      <vt:lpstr>計算条件（既存）【例】</vt:lpstr>
      <vt:lpstr>事業費（既存）【例】</vt:lpstr>
      <vt:lpstr>物質収支（いしかわモデル） 【例】</vt:lpstr>
      <vt:lpstr>施設規模の設定（いしかわモデル）【例】</vt:lpstr>
      <vt:lpstr>計算条件（いしかわモデル）【例】</vt:lpstr>
      <vt:lpstr>事業費（いしかわモデル）【例】</vt:lpstr>
      <vt:lpstr>'②処理フロー（イメージ）'!Print_Area</vt:lpstr>
      <vt:lpstr>③基本情報入力【例】!Print_Area</vt:lpstr>
      <vt:lpstr>④算定結果【例】!Print_Area</vt:lpstr>
      <vt:lpstr>⑤基本情報入力!Print_Area</vt:lpstr>
      <vt:lpstr>⑥算定結果!Print_Area</vt:lpstr>
      <vt:lpstr>⑦入力参考値!Print_Area</vt:lpstr>
      <vt:lpstr>⑧計算シート→!Print_Area</vt:lpstr>
      <vt:lpstr>データ入力!Print_Area</vt:lpstr>
      <vt:lpstr>'計算条件（いしかわモデル）'!Print_Area</vt:lpstr>
      <vt:lpstr>'計算条件（いしかわモデル）【例】'!Print_Area</vt:lpstr>
      <vt:lpstr>'計算条件（既存）'!Print_Area</vt:lpstr>
      <vt:lpstr>'計算条件（既存）【例】'!Print_Area</vt:lpstr>
      <vt:lpstr>'施設規模の設定（いしかわモデル）'!Print_Area</vt:lpstr>
      <vt:lpstr>'施設規模の設定（いしかわモデル）【例】'!Print_Area</vt:lpstr>
      <vt:lpstr>'施設規模の設定（既存）'!Print_Area</vt:lpstr>
      <vt:lpstr>'施設規模の設定（既存）【例】'!Print_Area</vt:lpstr>
      <vt:lpstr>'事業費（いしかわモデル）【例】'!Print_Area</vt:lpstr>
      <vt:lpstr>'事業費（既存）【例】'!Print_Area</vt:lpstr>
      <vt:lpstr>'物質収支（いしかわモデル）'!Print_Area</vt:lpstr>
      <vt:lpstr>'物質収支（いしかわモデル） 【例】'!Print_Area</vt:lpstr>
      <vt:lpstr>'物質収支（既存）'!Print_Area</vt:lpstr>
      <vt:lpstr>'物質収支（既存）【例】'!Print_Area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紳司</dc:creator>
  <cp:lastModifiedBy>大月 紳司</cp:lastModifiedBy>
  <cp:lastPrinted>2019-06-10T08:11:29Z</cp:lastPrinted>
  <dcterms:created xsi:type="dcterms:W3CDTF">2013-10-01T01:38:54Z</dcterms:created>
  <dcterms:modified xsi:type="dcterms:W3CDTF">2019-10-30T05:02:54Z</dcterms:modified>
</cp:coreProperties>
</file>